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'Лист1'!$A$1:$P$130</definedName>
  </definedNames>
  <calcPr fullCalcOnLoad="1"/>
</workbook>
</file>

<file path=xl/sharedStrings.xml><?xml version="1.0" encoding="utf-8"?>
<sst xmlns="http://schemas.openxmlformats.org/spreadsheetml/2006/main" count="297" uniqueCount="230">
  <si>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</si>
  <si>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</si>
  <si>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</si>
  <si>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</si>
  <si>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</si>
  <si>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</si>
  <si>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</si>
  <si>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</si>
  <si>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</si>
  <si>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</si>
  <si>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</si>
  <si>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</si>
  <si>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</si>
  <si>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</si>
  <si>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</si>
  <si>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</si>
  <si>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</si>
  <si>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</si>
  <si>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</si>
  <si>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</si>
  <si>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</si>
  <si>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</si>
  <si>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</si>
  <si>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</si>
  <si>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</si>
  <si>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</si>
  <si>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</si>
  <si>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</si>
  <si>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</si>
  <si>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</si>
  <si>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</si>
  <si>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</si>
  <si>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</si>
  <si>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</si>
  <si>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</si>
  <si>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</si>
  <si>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</si>
  <si>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</si>
  <si>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</si>
  <si>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0921</t>
  </si>
  <si>
    <t>0960</t>
  </si>
  <si>
    <t>Утримання та навчально-тренувальна робота комунальних дитячо-юнацьких спортивних шкіл</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</si>
  <si>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</si>
  <si>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</si>
  <si>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</si>
  <si>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</si>
  <si>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</si>
  <si>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</si>
  <si>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</si>
  <si>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</si>
  <si>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</si>
  <si>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</si>
  <si>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</si>
  <si>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</si>
  <si>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</si>
  <si>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</si>
  <si>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</si>
  <si>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</si>
  <si>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0118340</t>
  </si>
  <si>
    <t>Природоохоронні заходи за рахунок цільових фондів</t>
  </si>
  <si>
    <t>0600000</t>
  </si>
  <si>
    <t>0610000</t>
  </si>
  <si>
    <t>0610160</t>
  </si>
  <si>
    <t>0611000</t>
  </si>
  <si>
    <t>0611010</t>
  </si>
  <si>
    <t>Надання дошкільної освіти</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</si>
  <si>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</si>
  <si>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</si>
  <si>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</si>
  <si>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</si>
  <si>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</si>
  <si>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</si>
  <si>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</si>
  <si>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</si>
  <si>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</si>
  <si>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Забезпечення діяльності інших закладів у сфері освіти</t>
  </si>
  <si>
    <t>Інші програми та заходи у сфері освіти</t>
  </si>
  <si>
    <t>0113191</t>
  </si>
  <si>
    <t>3191</t>
  </si>
  <si>
    <t>Код Функціональної класифікації видатків та кредитування бюджету</t>
  </si>
  <si>
    <t>усього</t>
  </si>
  <si>
    <t>у тому числі бюджет розвитку</t>
  </si>
  <si>
    <t>(грн)</t>
  </si>
  <si>
    <t>0116013</t>
  </si>
  <si>
    <t>Забезпечення діяльності водопровідно-каналізаційного господарства</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</si>
  <si>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</si>
  <si>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</si>
  <si>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</si>
  <si>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</si>
  <si>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Надання позашкільної освіти  закладами позашкільної освіти, заходи із позашкільної роботи з дітьми</t>
  </si>
  <si>
    <t>Заступник міського голови з питань діяльності виконавчих органів ради</t>
  </si>
  <si>
    <t>Світлана ЄВДОЩЕНКО</t>
  </si>
  <si>
    <t>0731</t>
  </si>
  <si>
    <t>Багатопрофільна стаціонарна медична допомога населенню</t>
  </si>
  <si>
    <t>0112111</t>
  </si>
  <si>
    <t>0726</t>
  </si>
  <si>
    <t>0113050</t>
  </si>
  <si>
    <t>1070</t>
  </si>
  <si>
    <t>Пільгове медичне обслуговування осіб, які постраждали внаслідок Чорнобильської катастрофи</t>
  </si>
  <si>
    <t>0113090</t>
  </si>
  <si>
    <t>Видатки на поховання учасників бойових дій та осіб з інвалідністю внаслідок війни</t>
  </si>
  <si>
    <t>0113171</t>
  </si>
  <si>
    <t>0113033</t>
  </si>
  <si>
    <t>0113032</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</si>
  <si>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</si>
  <si>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</si>
  <si>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</si>
  <si>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</si>
  <si>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</si>
  <si>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</si>
  <si>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</si>
  <si>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</si>
  <si>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0110180</t>
  </si>
  <si>
    <t>Інша діяльність у сфері державного управління</t>
  </si>
  <si>
    <t>0110160</t>
  </si>
  <si>
    <t>1014030</t>
  </si>
  <si>
    <t>4030</t>
  </si>
  <si>
    <t>Забезпечення діяльності бібліотек</t>
  </si>
  <si>
    <t>3700000</t>
  </si>
  <si>
    <t>3710000</t>
  </si>
  <si>
    <t>Фінансовий відділ Баштанської міської ради</t>
  </si>
  <si>
    <t>3710160</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</si>
  <si>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</si>
  <si>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0112010</t>
  </si>
  <si>
    <t>3718710</t>
  </si>
  <si>
    <t>8710</t>
  </si>
  <si>
    <t>Резервний фонд місцевого бюджету</t>
  </si>
  <si>
    <t>Первинна медична допомога населенню, що надається центрами первинної медичної (медико-санітарної) допомоги</t>
  </si>
  <si>
    <t>0111160</t>
  </si>
  <si>
    <t>Забезпечення діяльності центрів професійного розвитку педагогічних працівників</t>
  </si>
  <si>
    <t>0443</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</si>
  <si>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</si>
  <si>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</si>
  <si>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0611021</t>
  </si>
  <si>
    <t>1021</t>
  </si>
  <si>
    <t>0611070</t>
  </si>
  <si>
    <t>0611141</t>
  </si>
  <si>
    <t>1141</t>
  </si>
  <si>
    <t>0611142</t>
  </si>
  <si>
    <t>1142</t>
  </si>
  <si>
    <t>0611151</t>
  </si>
  <si>
    <t>1151</t>
  </si>
  <si>
    <t>Забезпечення діяльності інклюзивно-ресурсних центрів за рахунок коштів місцевого бюджету</t>
  </si>
  <si>
    <t>1040</t>
  </si>
  <si>
    <t>0617321</t>
  </si>
  <si>
    <t>7321</t>
  </si>
  <si>
    <t>Будівництво-1 освітніх установ та закладів</t>
  </si>
  <si>
    <t>0613133</t>
  </si>
  <si>
    <t>3133</t>
  </si>
  <si>
    <t>Інші заходи та заклади молодіжної політики</t>
  </si>
  <si>
    <t>Надання спеціалізованої освіти мистецькими школами</t>
  </si>
  <si>
    <t>0118110</t>
  </si>
  <si>
    <t>0320</t>
  </si>
  <si>
    <t>Заходи із запобігання та ліквідації надзвичайних ситуацій та наслідків стихійного лиха</t>
  </si>
  <si>
    <t>0113210</t>
  </si>
  <si>
    <t>3210</t>
  </si>
  <si>
    <t>1050</t>
  </si>
  <si>
    <t>Організація та проведення громадських робіт</t>
  </si>
  <si>
    <t>до рішення міської ради</t>
  </si>
  <si>
    <t>видатків бюджету Баштанської міської територіальної громади  на 2023 рік</t>
  </si>
  <si>
    <t>0490</t>
  </si>
  <si>
    <t>Членські внески до асоціацій органів місцевого самоврядування</t>
  </si>
  <si>
    <t>0117680</t>
  </si>
  <si>
    <t>Уточнений розподіл</t>
  </si>
  <si>
    <t>Надання загальної середньої освіти закладами  загальної середньої освіти за рахунок освітньої субвенції</t>
  </si>
  <si>
    <t>0611031</t>
  </si>
  <si>
    <t>1031</t>
  </si>
  <si>
    <t>0611152</t>
  </si>
  <si>
    <t>1152</t>
  </si>
  <si>
    <t>Забезпечення діяльності інклюзивно-ресурсних центрів за рахунок коштів освітньої субвенції</t>
  </si>
  <si>
    <t>Надання загальної середньої освіти закладами  загальної середньої освіти за рахунок коштів місцевого бюджету</t>
  </si>
  <si>
    <t>в тому числі:</t>
  </si>
  <si>
    <t>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</si>
  <si>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0117330</t>
  </si>
  <si>
    <t>Будівництво 1 інших об'єктів комунальної власності</t>
  </si>
  <si>
    <t>0117363</t>
  </si>
  <si>
    <t>Виконання інвестиційних проєктівв рамках здійснення заходів щодо соціально- економічного розвитку окремих територій</t>
  </si>
  <si>
    <t>за рахунок залишку коштів субвенції з державного бюджету</t>
  </si>
  <si>
    <t>0117611</t>
  </si>
  <si>
    <t>Забезпечення нагальних потреб функціонування держави в умовах воєнного стану</t>
  </si>
  <si>
    <t>0118240</t>
  </si>
  <si>
    <t>Заходи та роботи з територіальної оборони</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</si>
  <si>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</si>
  <si>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</si>
  <si>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</si>
  <si>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0617363</t>
  </si>
  <si>
    <t>1017363</t>
  </si>
  <si>
    <t>з них:</t>
  </si>
  <si>
    <t>за рахунок залишку коштів, що утворився на початок бюджетного періоду (залишок коштів бюджету міської територіальної громади станом на 01.01.2023)</t>
  </si>
  <si>
    <t>0117322</t>
  </si>
  <si>
    <t>Будівництво 1 медичних установ та закладів</t>
  </si>
  <si>
    <t>за рахунок залишку коштів субвенцій з державного бюджету</t>
  </si>
  <si>
    <t>0116082</t>
  </si>
  <si>
    <t>0610</t>
  </si>
  <si>
    <t>Придбання житла для окремих категорій населення відповідно до законодавства</t>
  </si>
  <si>
    <t>0117130</t>
  </si>
  <si>
    <t>0421</t>
  </si>
  <si>
    <t>Здійснення заходів із землеустрою</t>
  </si>
  <si>
    <t>виконавець програми: 3 державний пожежно-рятувальний загін ГУ ДСНС України у Миколаївської області (для 7 державної пожежно-рятувальної частини)</t>
  </si>
  <si>
    <t>виконавець програми: Баштанський районний територіальний центр комплектування та соціальної підтримки Миколаївської області</t>
  </si>
  <si>
    <t>Субвенція з місцевого бюджету державному бюджету на виконання програм соціально-економічного розвитку регіонів</t>
  </si>
  <si>
    <t>Будівництво 1 освітніх установ та закладів</t>
  </si>
  <si>
    <t>Додаток 3.1</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</si>
  <si>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</si>
  <si>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</si>
  <si>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</si>
  <si>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</si>
  <si>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</si>
  <si>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</si>
  <si>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у тому числі  за рахунок субвенції з державного бюджету</t>
  </si>
  <si>
    <t>0119770</t>
  </si>
  <si>
    <t>Інші субвенції з місцевого бюджету</t>
  </si>
  <si>
    <t xml:space="preserve">субвенція з бюджету Баштанської міської територіальної громади до районного бюджету Баштанського району на покращення матеріально-технічного забезпечення батальйону територіальної оборони Баштанського району (для військової частини А7356) </t>
  </si>
  <si>
    <t>Забезпечення функціонування підприємств, установ та організацій, що виробляють, виконують та/або надають житлово-комунальні послуги</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</si>
  <si>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</si>
  <si>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</si>
  <si>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0119810</t>
  </si>
  <si>
    <t>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t>
  </si>
  <si>
    <t xml:space="preserve"> Архівному відділу Баштанської районної військової адміністрації</t>
  </si>
  <si>
    <t xml:space="preserve"> Фінансовому відділу Баштанської районної військової адміністрації</t>
  </si>
  <si>
    <t>,</t>
  </si>
  <si>
    <t xml:space="preserve">виконавець програми: Головне управління національної поліції в Миколаївській області (на виготовлення проектно-кошторисної документації з експертизою на капітальний ремонт покрівель адміністративних будівель Баштанського РВП ГУНП в Миколаївській області; придбання службових автомобілів для поліцейських офіцерів громади) </t>
  </si>
  <si>
    <t>0119800</t>
  </si>
  <si>
    <t xml:space="preserve">виконавець програми : військова частина А4576 (на покращення матеріально-технічного забезпечення військової частини) </t>
  </si>
  <si>
    <t xml:space="preserve">виконавець програми: військова частина А4718 ( на покращення матеріально-технічного забезпечення військової частини А4818) </t>
  </si>
  <si>
    <t xml:space="preserve">від    грудня  2023  р. № </t>
  </si>
  <si>
    <t>0611271</t>
  </si>
  <si>
    <t>Співфінансування заходів, що реалізується за рахунок освітньої субвенції з державного бюджету місцевим бюджетам (за спеціальним фондом державного бюджету)</t>
  </si>
  <si>
    <t>0611272</t>
  </si>
  <si>
    <t>Реалізація заходів за рахунок освітньої субвенції з державного бюджету місцевим бюджетам (за спеціальним фондом державного бюджету)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</si>
</sst>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_-* #,##0.0_р_._-;\-* #,##0.0_р_._-;_-* &quot;-&quot;??_р_._-;_-@_-"/>
    <numFmt numFmtId="190" formatCode="_-* #,##0_р_._-;\-* #,##0_р_._-;_-* &quot;-&quot;??_р_._-;_-@_-"/>
    <numFmt numFmtId="191" formatCode="_-* #,##0.000_р_._-;\-* #,##0.000_р_._-;_-* &quot;-&quot;??_р_._-;_-@_-"/>
  </numFmts>
  <fonts count="62">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sz val="10"/>
      <color indexed="10"/>
      <name val="Arial"/>
      <family val="2"/>
    </font>
    <font>
      <b/>
      <sz val="10"/>
      <color indexed="10"/>
      <name val="Arial"/>
      <family val="2"/>
    </font>
    <font>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sz val="10"/>
      <color rgb="FFFF0000"/>
      <name val="Arial"/>
      <family val="2"/>
    </font>
    <font>
      <b/>
      <sz val="10"/>
      <color rgb="FFFF0000"/>
      <name val="Arial"/>
      <family val="2"/>
    </font>
    <font>
      <sz val="12"/>
      <color rgb="FF3333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165">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0" fontId="55" fillId="0" borderId="0" xfId="0" applyFont="1" applyAlignment="1">
      <alignment vertical="center"/>
    </xf>
    <xf numFmtId="0" fontId="56" fillId="0" borderId="0" xfId="0" applyFont="1" applyAlignment="1">
      <alignment/>
    </xf>
    <xf numFmtId="0" fontId="55" fillId="0" borderId="0" xfId="0" applyFont="1" applyAlignment="1">
      <alignment/>
    </xf>
    <xf numFmtId="0" fontId="55" fillId="34" borderId="0" xfId="0" applyFont="1" applyFill="1" applyAlignment="1">
      <alignment/>
    </xf>
    <xf numFmtId="0" fontId="1" fillId="0" borderId="0" xfId="0" applyFont="1" applyAlignment="1">
      <alignment horizontal="center"/>
    </xf>
    <xf numFmtId="0" fontId="0" fillId="0" borderId="0" xfId="0" applyAlignment="1">
      <alignment horizontal="center"/>
    </xf>
    <xf numFmtId="0" fontId="57"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80" fontId="7" fillId="0" borderId="10" xfId="0" applyNumberFormat="1" applyFont="1" applyBorder="1" applyAlignment="1" quotePrefix="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0" fontId="10" fillId="0" borderId="0" xfId="0" applyFont="1" applyAlignment="1">
      <alignment/>
    </xf>
    <xf numFmtId="0" fontId="0" fillId="0" borderId="10" xfId="0" applyFont="1" applyBorder="1" applyAlignment="1" quotePrefix="1">
      <alignment horizontal="center" vertical="top" wrapText="1"/>
    </xf>
    <xf numFmtId="180" fontId="0" fillId="0" borderId="10" xfId="0" applyNumberFormat="1" applyFont="1" applyBorder="1" applyAlignment="1">
      <alignment vertical="top" wrapText="1"/>
    </xf>
    <xf numFmtId="1" fontId="6" fillId="0" borderId="10" xfId="0" applyNumberFormat="1" applyFont="1" applyBorder="1" applyAlignment="1" quotePrefix="1">
      <alignment horizontal="center" vertical="top" wrapText="1"/>
    </xf>
    <xf numFmtId="49" fontId="6" fillId="0" borderId="10" xfId="0" applyNumberFormat="1" applyFont="1" applyBorder="1" applyAlignment="1" quotePrefix="1">
      <alignment horizontal="center" vertical="top" wrapText="1"/>
    </xf>
    <xf numFmtId="1" fontId="0" fillId="0" borderId="10" xfId="0" applyNumberFormat="1" applyFont="1" applyBorder="1" applyAlignment="1" quotePrefix="1">
      <alignment horizontal="center" vertical="top" wrapText="1"/>
    </xf>
    <xf numFmtId="49" fontId="7" fillId="34" borderId="10" xfId="0" applyNumberFormat="1" applyFont="1" applyFill="1" applyBorder="1" applyAlignment="1">
      <alignment vertical="top"/>
    </xf>
    <xf numFmtId="49" fontId="7" fillId="34" borderId="10" xfId="0" applyNumberFormat="1" applyFont="1" applyFill="1" applyBorder="1" applyAlignment="1">
      <alignment horizontal="center" vertical="top" wrapText="1"/>
    </xf>
    <xf numFmtId="0" fontId="7" fillId="34" borderId="10" xfId="0" applyFont="1" applyFill="1" applyBorder="1" applyAlignment="1">
      <alignment horizontal="left" vertical="top" wrapText="1"/>
    </xf>
    <xf numFmtId="49" fontId="7" fillId="34" borderId="10" xfId="0" applyNumberFormat="1" applyFont="1" applyFill="1" applyBorder="1" applyAlignment="1">
      <alignment horizontal="center" vertical="top"/>
    </xf>
    <xf numFmtId="2" fontId="0" fillId="0" borderId="0" xfId="0" applyNumberFormat="1" applyFont="1" applyAlignment="1">
      <alignment/>
    </xf>
    <xf numFmtId="0" fontId="0" fillId="0" borderId="10" xfId="0" applyBorder="1" applyAlignment="1" quotePrefix="1">
      <alignment horizontal="center" vertical="center" wrapText="1"/>
    </xf>
    <xf numFmtId="4" fontId="0" fillId="0" borderId="10" xfId="0" applyNumberFormat="1" applyBorder="1" applyAlignment="1" quotePrefix="1">
      <alignment horizontal="center" vertical="center" wrapText="1"/>
    </xf>
    <xf numFmtId="4" fontId="0" fillId="0" borderId="10" xfId="0" applyNumberFormat="1" applyBorder="1" applyAlignment="1" quotePrefix="1">
      <alignment vertical="center" wrapText="1"/>
    </xf>
    <xf numFmtId="0" fontId="7" fillId="0" borderId="0" xfId="0" applyFont="1" applyFill="1" applyBorder="1" applyAlignment="1">
      <alignment horizontal="center" vertical="top" wrapText="1"/>
    </xf>
    <xf numFmtId="0" fontId="7" fillId="0" borderId="0" xfId="0" applyFont="1" applyFill="1" applyBorder="1" applyAlignment="1" quotePrefix="1">
      <alignment horizontal="center" vertical="top" wrapText="1"/>
    </xf>
    <xf numFmtId="180" fontId="7" fillId="0" borderId="0" xfId="0" applyNumberFormat="1" applyFont="1" applyFill="1" applyBorder="1" applyAlignment="1">
      <alignment vertical="top" wrapText="1"/>
    </xf>
    <xf numFmtId="2" fontId="0" fillId="0" borderId="0" xfId="0" applyNumberFormat="1" applyAlignment="1">
      <alignment/>
    </xf>
    <xf numFmtId="0" fontId="0" fillId="0" borderId="11" xfId="0" applyFont="1" applyBorder="1" applyAlignment="1" quotePrefix="1">
      <alignment horizontal="center" vertical="top" wrapText="1"/>
    </xf>
    <xf numFmtId="0" fontId="0" fillId="0" borderId="0" xfId="0" applyBorder="1" applyAlignment="1" quotePrefix="1">
      <alignment horizontal="center" vertical="center" wrapText="1"/>
    </xf>
    <xf numFmtId="4" fontId="0" fillId="0" borderId="0" xfId="0" applyNumberFormat="1" applyBorder="1" applyAlignment="1" quotePrefix="1">
      <alignment horizontal="center" vertical="center" wrapText="1"/>
    </xf>
    <xf numFmtId="4" fontId="0" fillId="0" borderId="0" xfId="0" applyNumberFormat="1" applyBorder="1" applyAlignment="1" quotePrefix="1">
      <alignment vertical="center" wrapText="1"/>
    </xf>
    <xf numFmtId="190" fontId="1" fillId="33" borderId="10" xfId="59" applyNumberFormat="1" applyFont="1" applyFill="1" applyBorder="1" applyAlignment="1">
      <alignment horizontal="center" vertical="top" wrapText="1"/>
    </xf>
    <xf numFmtId="190" fontId="1" fillId="0" borderId="10" xfId="59" applyNumberFormat="1" applyFont="1" applyBorder="1" applyAlignment="1">
      <alignment horizontal="center" vertical="top" wrapText="1"/>
    </xf>
    <xf numFmtId="190" fontId="1" fillId="34" borderId="10" xfId="59" applyNumberFormat="1" applyFont="1" applyFill="1" applyBorder="1" applyAlignment="1">
      <alignment horizontal="center" vertical="top" wrapText="1"/>
    </xf>
    <xf numFmtId="190" fontId="58" fillId="0" borderId="10" xfId="59" applyNumberFormat="1" applyFont="1" applyBorder="1" applyAlignment="1">
      <alignment horizontal="center" vertical="top" wrapText="1"/>
    </xf>
    <xf numFmtId="190" fontId="58" fillId="34" borderId="10" xfId="59" applyNumberFormat="1" applyFont="1" applyFill="1" applyBorder="1" applyAlignment="1">
      <alignment horizontal="center" vertical="top" wrapText="1"/>
    </xf>
    <xf numFmtId="190" fontId="0" fillId="33" borderId="10" xfId="59" applyNumberFormat="1" applyFont="1" applyFill="1" applyBorder="1" applyAlignment="1">
      <alignment horizontal="center" vertical="top" wrapText="1"/>
    </xf>
    <xf numFmtId="190" fontId="0" fillId="34" borderId="10" xfId="59" applyNumberFormat="1" applyFont="1" applyFill="1" applyBorder="1" applyAlignment="1">
      <alignment horizontal="center" vertical="top" wrapText="1"/>
    </xf>
    <xf numFmtId="190" fontId="59" fillId="0" borderId="10" xfId="59" applyNumberFormat="1" applyFont="1" applyBorder="1" applyAlignment="1">
      <alignment horizontal="center" vertical="top"/>
    </xf>
    <xf numFmtId="190" fontId="59" fillId="34" borderId="10" xfId="59" applyNumberFormat="1" applyFont="1" applyFill="1" applyBorder="1" applyAlignment="1">
      <alignment horizontal="center" vertical="top"/>
    </xf>
    <xf numFmtId="190" fontId="59" fillId="0" borderId="10" xfId="59" applyNumberFormat="1" applyFont="1" applyBorder="1" applyAlignment="1">
      <alignment horizontal="center" vertical="top" wrapText="1"/>
    </xf>
    <xf numFmtId="190" fontId="6" fillId="0" borderId="10" xfId="59" applyNumberFormat="1" applyFont="1" applyBorder="1" applyAlignment="1">
      <alignment horizontal="center" vertical="top"/>
    </xf>
    <xf numFmtId="190" fontId="6" fillId="34" borderId="10" xfId="59" applyNumberFormat="1" applyFont="1" applyFill="1" applyBorder="1" applyAlignment="1">
      <alignment horizontal="center" vertical="top"/>
    </xf>
    <xf numFmtId="190" fontId="6" fillId="0" borderId="10" xfId="59" applyNumberFormat="1" applyFont="1" applyBorder="1" applyAlignment="1">
      <alignment horizontal="center" vertical="top" wrapText="1"/>
    </xf>
    <xf numFmtId="190" fontId="7" fillId="6" borderId="10" xfId="59" applyNumberFormat="1" applyFont="1" applyFill="1" applyBorder="1" applyAlignment="1">
      <alignment horizontal="center" vertical="top"/>
    </xf>
    <xf numFmtId="190" fontId="7" fillId="0" borderId="10" xfId="59" applyNumberFormat="1" applyFont="1" applyBorder="1" applyAlignment="1">
      <alignment horizontal="center" vertical="top"/>
    </xf>
    <xf numFmtId="190" fontId="7" fillId="34" borderId="10" xfId="59" applyNumberFormat="1" applyFont="1" applyFill="1" applyBorder="1" applyAlignment="1">
      <alignment horizontal="center" vertical="top"/>
    </xf>
    <xf numFmtId="190" fontId="60" fillId="0" borderId="10" xfId="59" applyNumberFormat="1" applyFont="1" applyBorder="1" applyAlignment="1">
      <alignment horizontal="center" vertical="top"/>
    </xf>
    <xf numFmtId="190" fontId="7" fillId="2" borderId="10" xfId="59" applyNumberFormat="1" applyFont="1" applyFill="1" applyBorder="1" applyAlignment="1">
      <alignment horizontal="center" vertical="top"/>
    </xf>
    <xf numFmtId="190" fontId="7" fillId="0" borderId="10" xfId="59" applyNumberFormat="1" applyFont="1" applyFill="1" applyBorder="1" applyAlignment="1">
      <alignment horizontal="center" vertical="top" wrapText="1"/>
    </xf>
    <xf numFmtId="190" fontId="7" fillId="0" borderId="0" xfId="59" applyNumberFormat="1" applyFont="1" applyFill="1" applyBorder="1" applyAlignment="1">
      <alignment horizontal="center" vertical="top" wrapText="1"/>
    </xf>
    <xf numFmtId="190" fontId="7" fillId="6" borderId="12" xfId="59" applyNumberFormat="1" applyFont="1" applyFill="1" applyBorder="1" applyAlignment="1">
      <alignment horizontal="center" vertical="top"/>
    </xf>
    <xf numFmtId="190" fontId="0" fillId="0" borderId="0" xfId="59" applyNumberFormat="1" applyFont="1" applyAlignment="1">
      <alignment horizontal="center" vertical="top"/>
    </xf>
    <xf numFmtId="0" fontId="1" fillId="34" borderId="10" xfId="0" applyFont="1" applyFill="1" applyBorder="1" applyAlignment="1" quotePrefix="1">
      <alignment horizontal="center" vertical="top" wrapText="1"/>
    </xf>
    <xf numFmtId="0" fontId="1" fillId="34" borderId="11" xfId="0" applyFont="1" applyFill="1" applyBorder="1" applyAlignment="1" quotePrefix="1">
      <alignment horizontal="center" vertical="top" wrapText="1"/>
    </xf>
    <xf numFmtId="180" fontId="1" fillId="34" borderId="10" xfId="0" applyNumberFormat="1" applyFont="1" applyFill="1" applyBorder="1" applyAlignment="1" quotePrefix="1">
      <alignment horizontal="center" vertical="top" wrapText="1"/>
    </xf>
    <xf numFmtId="180" fontId="1" fillId="34" borderId="10" xfId="0" applyNumberFormat="1" applyFont="1" applyFill="1" applyBorder="1" applyAlignment="1">
      <alignment vertical="top" wrapText="1"/>
    </xf>
    <xf numFmtId="190" fontId="0" fillId="0" borderId="10" xfId="59" applyNumberFormat="1" applyFont="1" applyBorder="1" applyAlignment="1">
      <alignment horizontal="center" vertical="top" wrapText="1"/>
    </xf>
    <xf numFmtId="190" fontId="0" fillId="33" borderId="10" xfId="59" applyNumberFormat="1" applyFont="1" applyFill="1" applyBorder="1" applyAlignment="1">
      <alignment horizontal="center" vertical="top" wrapText="1"/>
    </xf>
    <xf numFmtId="179" fontId="1" fillId="34" borderId="10" xfId="59" applyNumberFormat="1" applyFont="1" applyFill="1" applyBorder="1" applyAlignment="1">
      <alignment horizontal="center" vertical="top" wrapText="1"/>
    </xf>
    <xf numFmtId="179" fontId="1" fillId="0" borderId="10" xfId="59" applyNumberFormat="1" applyFont="1" applyBorder="1" applyAlignment="1">
      <alignment horizontal="center" vertical="top" wrapText="1"/>
    </xf>
    <xf numFmtId="180" fontId="0" fillId="0" borderId="10" xfId="0" applyNumberFormat="1" applyBorder="1" applyAlignment="1">
      <alignment vertical="top" wrapText="1"/>
    </xf>
    <xf numFmtId="180" fontId="0" fillId="0" borderId="10" xfId="0" applyNumberFormat="1" applyFont="1" applyBorder="1" applyAlignment="1">
      <alignment vertical="top" wrapText="1"/>
    </xf>
    <xf numFmtId="179" fontId="1" fillId="33" borderId="10" xfId="59" applyNumberFormat="1" applyFont="1" applyFill="1" applyBorder="1" applyAlignment="1">
      <alignment horizontal="center" vertical="top" wrapText="1"/>
    </xf>
    <xf numFmtId="179" fontId="7" fillId="6" borderId="10" xfId="59" applyNumberFormat="1" applyFont="1" applyFill="1" applyBorder="1" applyAlignment="1">
      <alignment horizontal="center" vertical="top"/>
    </xf>
    <xf numFmtId="190" fontId="1" fillId="33" borderId="0" xfId="59" applyNumberFormat="1" applyFont="1" applyFill="1" applyBorder="1" applyAlignment="1">
      <alignment horizontal="center" vertical="top" wrapText="1"/>
    </xf>
    <xf numFmtId="179" fontId="1" fillId="33" borderId="12" xfId="59" applyNumberFormat="1" applyFont="1" applyFill="1" applyBorder="1" applyAlignment="1">
      <alignment horizontal="center" vertical="top" wrapText="1"/>
    </xf>
    <xf numFmtId="189" fontId="0" fillId="0" borderId="0" xfId="59" applyNumberFormat="1" applyFont="1" applyAlignment="1">
      <alignment horizontal="center" vertical="top"/>
    </xf>
    <xf numFmtId="179" fontId="0" fillId="0" borderId="0" xfId="59" applyNumberFormat="1" applyFont="1" applyAlignment="1">
      <alignment horizontal="center" vertical="top"/>
    </xf>
    <xf numFmtId="0" fontId="6" fillId="0" borderId="11" xfId="0" applyFont="1" applyBorder="1" applyAlignment="1" quotePrefix="1">
      <alignment horizontal="center" vertical="top" wrapText="1"/>
    </xf>
    <xf numFmtId="180" fontId="6" fillId="0" borderId="11" xfId="0" applyNumberFormat="1" applyFont="1" applyBorder="1" applyAlignment="1" quotePrefix="1">
      <alignment horizontal="center" vertical="top" wrapText="1"/>
    </xf>
    <xf numFmtId="180" fontId="0" fillId="0" borderId="11" xfId="0" applyNumberFormat="1" applyBorder="1" applyAlignment="1">
      <alignment vertical="top" wrapText="1"/>
    </xf>
    <xf numFmtId="189" fontId="7" fillId="0" borderId="10" xfId="59" applyNumberFormat="1" applyFont="1" applyFill="1" applyBorder="1" applyAlignment="1">
      <alignment horizontal="center" vertical="top" wrapText="1"/>
    </xf>
    <xf numFmtId="179" fontId="7" fillId="0" borderId="10" xfId="59" applyNumberFormat="1" applyFont="1" applyFill="1" applyBorder="1" applyAlignment="1">
      <alignment horizontal="center" vertical="top" wrapText="1"/>
    </xf>
    <xf numFmtId="0" fontId="61" fillId="0" borderId="0" xfId="0" applyFont="1" applyAlignment="1">
      <alignment vertical="top" wrapText="1"/>
    </xf>
    <xf numFmtId="0" fontId="61" fillId="0" borderId="10" xfId="0" applyFont="1" applyBorder="1" applyAlignment="1">
      <alignment vertical="top"/>
    </xf>
    <xf numFmtId="0" fontId="61" fillId="0" borderId="10" xfId="0" applyFont="1" applyBorder="1" applyAlignment="1">
      <alignment vertical="top" wrapText="1"/>
    </xf>
    <xf numFmtId="0" fontId="11" fillId="0" borderId="10" xfId="0" applyFont="1" applyBorder="1" applyAlignment="1" quotePrefix="1">
      <alignment horizontal="center" vertical="top" wrapText="1"/>
    </xf>
    <xf numFmtId="180" fontId="11" fillId="0" borderId="10" xfId="0" applyNumberFormat="1" applyFont="1" applyBorder="1" applyAlignment="1" quotePrefix="1">
      <alignment horizontal="center" vertical="top" wrapText="1"/>
    </xf>
    <xf numFmtId="0" fontId="4" fillId="0" borderId="0" xfId="0" applyFont="1" applyAlignment="1">
      <alignment vertical="top" wrapText="1"/>
    </xf>
    <xf numFmtId="0" fontId="4" fillId="0" borderId="10" xfId="0"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0" xfId="0" applyAlignment="1">
      <alignment horizontal="left"/>
    </xf>
    <xf numFmtId="0" fontId="10" fillId="0" borderId="0" xfId="0" applyFont="1" applyAlignment="1">
      <alignment horizontal="center" vertical="center"/>
    </xf>
    <xf numFmtId="0" fontId="0" fillId="0" borderId="14" xfId="0" applyBorder="1" applyAlignment="1">
      <alignment horizontal="center"/>
    </xf>
    <xf numFmtId="0" fontId="0" fillId="0" borderId="15"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63"/>
  <sheetViews>
    <sheetView tabSelected="1" view="pageBreakPreview" zoomScale="75" zoomScaleSheetLayoutView="75" workbookViewId="0" topLeftCell="A1">
      <pane ySplit="13" topLeftCell="A125" activePane="bottomLeft" state="frozen"/>
      <selection pane="topLeft" activeCell="B1" sqref="B1"/>
      <selection pane="bottomLeft" activeCell="K127" sqref="K127"/>
    </sheetView>
  </sheetViews>
  <sheetFormatPr defaultColWidth="9.00390625" defaultRowHeight="12.75"/>
  <cols>
    <col min="1" max="3" width="12.00390625" style="0" customWidth="1"/>
    <col min="4" max="4" width="40.75390625" style="0" customWidth="1"/>
    <col min="5" max="5" width="18.00390625" style="0" customWidth="1"/>
    <col min="6" max="6" width="18.375" style="0" customWidth="1"/>
    <col min="7" max="7" width="19.75390625" style="0" customWidth="1"/>
    <col min="8" max="8" width="16.00390625" style="0" customWidth="1"/>
    <col min="9" max="9" width="18.625" style="0" customWidth="1"/>
    <col min="10" max="10" width="19.875" style="0" customWidth="1"/>
    <col min="11" max="11" width="16.875" style="0" customWidth="1"/>
    <col min="12" max="12" width="16.125" style="0" customWidth="1"/>
    <col min="13" max="13" width="13.125" style="0" customWidth="1"/>
    <col min="14" max="14" width="12.00390625" style="0" customWidth="1"/>
    <col min="15" max="15" width="17.875" style="0" customWidth="1"/>
    <col min="16" max="16" width="18.125" style="0" customWidth="1"/>
    <col min="17" max="18" width="14.375" style="0" bestFit="1" customWidth="1"/>
  </cols>
  <sheetData>
    <row r="1" spans="1:14" ht="12.75">
      <c r="A1" t="s">
        <v>0</v>
      </c>
      <c r="N1" t="s">
        <v>202</v>
      </c>
    </row>
    <row r="2" ht="12.75">
      <c r="N2" t="s">
        <v>158</v>
      </c>
    </row>
    <row r="3" spans="14:15" ht="12.75">
      <c r="N3" s="161" t="s">
        <v>225</v>
      </c>
      <c r="O3" s="161"/>
    </row>
    <row r="5" spans="1:16" ht="12.75">
      <c r="A5" s="153" t="s">
        <v>163</v>
      </c>
      <c r="B5" s="154"/>
      <c r="C5" s="154"/>
      <c r="D5" s="154"/>
      <c r="E5" s="154"/>
      <c r="F5" s="154"/>
      <c r="G5" s="154"/>
      <c r="H5" s="154"/>
      <c r="I5" s="154"/>
      <c r="J5" s="154"/>
      <c r="K5" s="154"/>
      <c r="L5" s="154"/>
      <c r="M5" s="154"/>
      <c r="N5" s="154"/>
      <c r="O5" s="154"/>
      <c r="P5" s="154"/>
    </row>
    <row r="6" spans="1:16" ht="12.75">
      <c r="A6" s="153" t="s">
        <v>159</v>
      </c>
      <c r="B6" s="154"/>
      <c r="C6" s="154"/>
      <c r="D6" s="154"/>
      <c r="E6" s="154"/>
      <c r="F6" s="154"/>
      <c r="G6" s="154"/>
      <c r="H6" s="154"/>
      <c r="I6" s="154"/>
      <c r="J6" s="154"/>
      <c r="K6" s="154"/>
      <c r="L6" s="154"/>
      <c r="M6" s="154"/>
      <c r="N6" s="154"/>
      <c r="O6" s="154"/>
      <c r="P6" s="154"/>
    </row>
    <row r="7" spans="1:16" ht="12.75">
      <c r="A7" s="69"/>
      <c r="B7" s="70"/>
      <c r="C7" s="70"/>
      <c r="D7" s="70"/>
      <c r="E7" s="70"/>
      <c r="F7" s="70"/>
      <c r="G7" s="70"/>
      <c r="H7" s="70"/>
      <c r="I7" s="70"/>
      <c r="J7" s="70"/>
      <c r="K7" s="70"/>
      <c r="L7" s="70"/>
      <c r="M7" s="70"/>
      <c r="N7" s="70"/>
      <c r="O7" s="70"/>
      <c r="P7" s="70"/>
    </row>
    <row r="8" spans="1:16" ht="12.75">
      <c r="A8" s="69"/>
      <c r="B8" s="163">
        <v>1450200000</v>
      </c>
      <c r="C8" s="163"/>
      <c r="D8" s="70"/>
      <c r="E8" s="70"/>
      <c r="F8" s="70"/>
      <c r="G8" s="70"/>
      <c r="H8" s="70"/>
      <c r="I8" s="70"/>
      <c r="J8" s="70"/>
      <c r="K8" s="70"/>
      <c r="L8" s="70"/>
      <c r="M8" s="70"/>
      <c r="N8" s="70"/>
      <c r="O8" s="70"/>
      <c r="P8" s="70"/>
    </row>
    <row r="9" spans="2:16" ht="12.75">
      <c r="B9" s="164" t="s">
        <v>85</v>
      </c>
      <c r="C9" s="164"/>
      <c r="P9" s="1" t="s">
        <v>82</v>
      </c>
    </row>
    <row r="10" spans="1:16" ht="12.75">
      <c r="A10" s="155" t="s">
        <v>86</v>
      </c>
      <c r="B10" s="155" t="s">
        <v>87</v>
      </c>
      <c r="C10" s="155" t="s">
        <v>79</v>
      </c>
      <c r="D10" s="156" t="s">
        <v>88</v>
      </c>
      <c r="E10" s="156" t="s">
        <v>1</v>
      </c>
      <c r="F10" s="156"/>
      <c r="G10" s="156"/>
      <c r="H10" s="156"/>
      <c r="I10" s="156"/>
      <c r="J10" s="156" t="s">
        <v>8</v>
      </c>
      <c r="K10" s="156"/>
      <c r="L10" s="156"/>
      <c r="M10" s="156"/>
      <c r="N10" s="156"/>
      <c r="O10" s="156"/>
      <c r="P10" s="157" t="s">
        <v>34</v>
      </c>
    </row>
    <row r="11" spans="1:16" ht="12.75">
      <c r="A11" s="156"/>
      <c r="B11" s="156"/>
      <c r="C11" s="156"/>
      <c r="D11" s="156"/>
      <c r="E11" s="157" t="s">
        <v>80</v>
      </c>
      <c r="F11" s="156" t="s">
        <v>3</v>
      </c>
      <c r="G11" s="156" t="s">
        <v>4</v>
      </c>
      <c r="H11" s="156"/>
      <c r="I11" s="156" t="s">
        <v>7</v>
      </c>
      <c r="J11" s="157" t="s">
        <v>80</v>
      </c>
      <c r="K11" s="158" t="s">
        <v>81</v>
      </c>
      <c r="L11" s="156" t="s">
        <v>3</v>
      </c>
      <c r="M11" s="156" t="s">
        <v>4</v>
      </c>
      <c r="N11" s="156"/>
      <c r="O11" s="156" t="s">
        <v>7</v>
      </c>
      <c r="P11" s="156"/>
    </row>
    <row r="12" spans="1:16" ht="12.75" customHeight="1">
      <c r="A12" s="156"/>
      <c r="B12" s="156"/>
      <c r="C12" s="156"/>
      <c r="D12" s="156"/>
      <c r="E12" s="156"/>
      <c r="F12" s="156"/>
      <c r="G12" s="156" t="s">
        <v>5</v>
      </c>
      <c r="H12" s="156" t="s">
        <v>6</v>
      </c>
      <c r="I12" s="156"/>
      <c r="J12" s="156"/>
      <c r="K12" s="159"/>
      <c r="L12" s="156"/>
      <c r="M12" s="156" t="s">
        <v>5</v>
      </c>
      <c r="N12" s="156" t="s">
        <v>6</v>
      </c>
      <c r="O12" s="156"/>
      <c r="P12" s="156"/>
    </row>
    <row r="13" spans="1:16" ht="58.5" customHeight="1">
      <c r="A13" s="156"/>
      <c r="B13" s="156"/>
      <c r="C13" s="156"/>
      <c r="D13" s="156"/>
      <c r="E13" s="156"/>
      <c r="F13" s="156"/>
      <c r="G13" s="156"/>
      <c r="H13" s="156"/>
      <c r="I13" s="156"/>
      <c r="J13" s="156"/>
      <c r="K13" s="160"/>
      <c r="L13" s="156"/>
      <c r="M13" s="156"/>
      <c r="N13" s="156"/>
      <c r="O13" s="156"/>
      <c r="P13" s="156"/>
    </row>
    <row r="14" spans="1:16" ht="12.75">
      <c r="A14" s="4">
        <v>1</v>
      </c>
      <c r="B14" s="4">
        <v>2</v>
      </c>
      <c r="C14" s="4">
        <v>3</v>
      </c>
      <c r="D14" s="4">
        <v>4</v>
      </c>
      <c r="E14" s="5">
        <v>5</v>
      </c>
      <c r="F14" s="4">
        <v>6</v>
      </c>
      <c r="G14" s="4">
        <v>7</v>
      </c>
      <c r="H14" s="4">
        <v>8</v>
      </c>
      <c r="I14" s="4">
        <v>9</v>
      </c>
      <c r="J14" s="5">
        <v>10</v>
      </c>
      <c r="K14" s="63">
        <v>11</v>
      </c>
      <c r="L14" s="4">
        <v>12</v>
      </c>
      <c r="M14" s="4">
        <v>13</v>
      </c>
      <c r="N14" s="4">
        <v>14</v>
      </c>
      <c r="O14" s="4">
        <v>15</v>
      </c>
      <c r="P14" s="5">
        <v>16</v>
      </c>
    </row>
    <row r="15" spans="1:16" ht="12.75">
      <c r="A15" s="6" t="s">
        <v>9</v>
      </c>
      <c r="B15" s="7"/>
      <c r="C15" s="8"/>
      <c r="D15" s="9" t="s">
        <v>10</v>
      </c>
      <c r="E15" s="10"/>
      <c r="F15" s="11"/>
      <c r="G15" s="11"/>
      <c r="H15" s="11"/>
      <c r="I15" s="11"/>
      <c r="J15" s="10"/>
      <c r="K15" s="64"/>
      <c r="L15" s="11"/>
      <c r="M15" s="11"/>
      <c r="N15" s="11"/>
      <c r="O15" s="11"/>
      <c r="P15" s="10"/>
    </row>
    <row r="16" spans="1:16" ht="12.75">
      <c r="A16" s="6" t="s">
        <v>11</v>
      </c>
      <c r="B16" s="7"/>
      <c r="C16" s="8"/>
      <c r="D16" s="9" t="s">
        <v>10</v>
      </c>
      <c r="E16" s="10"/>
      <c r="F16" s="11"/>
      <c r="G16" s="11"/>
      <c r="H16" s="11"/>
      <c r="I16" s="11"/>
      <c r="J16" s="10"/>
      <c r="K16" s="64"/>
      <c r="L16" s="11"/>
      <c r="M16" s="11"/>
      <c r="N16" s="11"/>
      <c r="O16" s="11"/>
      <c r="P16" s="10"/>
    </row>
    <row r="17" spans="1:16" s="49" customFormat="1" ht="87.75" customHeight="1">
      <c r="A17" s="33" t="s">
        <v>44</v>
      </c>
      <c r="B17" s="33" t="s">
        <v>45</v>
      </c>
      <c r="C17" s="34" t="s">
        <v>12</v>
      </c>
      <c r="D17" s="32" t="s">
        <v>37</v>
      </c>
      <c r="E17" s="103">
        <f aca="true" t="shared" si="0" ref="E17:E24">F17+I17</f>
        <v>29533106</v>
      </c>
      <c r="F17" s="104">
        <f>25710848-42200+14901+50000+211608+100000+1170000+257900+120000+1980658+941206-946864-34951</f>
        <v>29533106</v>
      </c>
      <c r="G17" s="104">
        <f>18315768+1398080+771481-776118</f>
        <v>19709211</v>
      </c>
      <c r="H17" s="104">
        <v>1876300</v>
      </c>
      <c r="I17" s="104">
        <v>0</v>
      </c>
      <c r="J17" s="103">
        <f>L17+O17</f>
        <v>34951</v>
      </c>
      <c r="K17" s="105">
        <v>34951</v>
      </c>
      <c r="L17" s="104"/>
      <c r="M17" s="104">
        <v>0</v>
      </c>
      <c r="N17" s="104">
        <v>0</v>
      </c>
      <c r="O17" s="104">
        <v>34951</v>
      </c>
      <c r="P17" s="103">
        <f aca="true" t="shared" si="1" ref="P17:P24">E17+J17</f>
        <v>29568057</v>
      </c>
    </row>
    <row r="18" spans="1:16" s="49" customFormat="1" ht="64.5" customHeight="1">
      <c r="A18" s="33" t="s">
        <v>114</v>
      </c>
      <c r="B18" s="33" t="s">
        <v>42</v>
      </c>
      <c r="C18" s="34" t="s">
        <v>12</v>
      </c>
      <c r="D18" s="74" t="s">
        <v>131</v>
      </c>
      <c r="E18" s="103">
        <f t="shared" si="0"/>
        <v>537437</v>
      </c>
      <c r="F18" s="104">
        <v>537437</v>
      </c>
      <c r="G18" s="104">
        <v>411178</v>
      </c>
      <c r="H18" s="104">
        <v>15800</v>
      </c>
      <c r="I18" s="104"/>
      <c r="J18" s="103"/>
      <c r="K18" s="105"/>
      <c r="L18" s="106"/>
      <c r="M18" s="104"/>
      <c r="N18" s="104"/>
      <c r="O18" s="104"/>
      <c r="P18" s="103">
        <f t="shared" si="1"/>
        <v>537437</v>
      </c>
    </row>
    <row r="19" spans="1:16" s="49" customFormat="1" ht="42.75" customHeight="1">
      <c r="A19" s="33" t="s">
        <v>112</v>
      </c>
      <c r="B19" s="33" t="s">
        <v>23</v>
      </c>
      <c r="C19" s="34" t="s">
        <v>22</v>
      </c>
      <c r="D19" s="74" t="s">
        <v>113</v>
      </c>
      <c r="E19" s="103">
        <f t="shared" si="0"/>
        <v>579053</v>
      </c>
      <c r="F19" s="104">
        <f>564053+15000</f>
        <v>579053</v>
      </c>
      <c r="G19" s="104"/>
      <c r="H19" s="104"/>
      <c r="I19" s="104"/>
      <c r="J19" s="103">
        <f>L19+O19</f>
        <v>4500000</v>
      </c>
      <c r="K19" s="105">
        <f>5000000-3000000+2500000</f>
        <v>4500000</v>
      </c>
      <c r="L19" s="106"/>
      <c r="M19" s="104"/>
      <c r="N19" s="104"/>
      <c r="O19" s="104">
        <f>5000000-3000000+2500000</f>
        <v>4500000</v>
      </c>
      <c r="P19" s="103">
        <f t="shared" si="1"/>
        <v>5079053</v>
      </c>
    </row>
    <row r="20" spans="1:16" s="49" customFormat="1" ht="48.75" customHeight="1">
      <c r="A20" s="33" t="s">
        <v>128</v>
      </c>
      <c r="B20" s="33">
        <v>1160</v>
      </c>
      <c r="C20" s="34" t="s">
        <v>15</v>
      </c>
      <c r="D20" s="74" t="s">
        <v>129</v>
      </c>
      <c r="E20" s="103">
        <f t="shared" si="0"/>
        <v>979734</v>
      </c>
      <c r="F20" s="104">
        <v>979734</v>
      </c>
      <c r="G20" s="104">
        <v>769810</v>
      </c>
      <c r="H20" s="104">
        <f>12600-1800</f>
        <v>10800</v>
      </c>
      <c r="I20" s="104"/>
      <c r="J20" s="103">
        <f>L20+O20</f>
        <v>0</v>
      </c>
      <c r="K20" s="105"/>
      <c r="L20" s="106"/>
      <c r="M20" s="104"/>
      <c r="N20" s="104"/>
      <c r="O20" s="104"/>
      <c r="P20" s="103">
        <f t="shared" si="1"/>
        <v>979734</v>
      </c>
    </row>
    <row r="21" spans="1:16" s="49" customFormat="1" ht="42" customHeight="1">
      <c r="A21" s="33" t="s">
        <v>123</v>
      </c>
      <c r="B21" s="33">
        <v>2010</v>
      </c>
      <c r="C21" s="72" t="s">
        <v>92</v>
      </c>
      <c r="D21" s="74" t="s">
        <v>93</v>
      </c>
      <c r="E21" s="103">
        <f t="shared" si="0"/>
        <v>11392840</v>
      </c>
      <c r="F21" s="104">
        <f>6648350+721000+1826576+1705672+111659+300000+79583</f>
        <v>11392840</v>
      </c>
      <c r="G21" s="104"/>
      <c r="H21" s="104"/>
      <c r="I21" s="104"/>
      <c r="J21" s="103">
        <f>L21+O21</f>
        <v>19551035</v>
      </c>
      <c r="K21" s="105">
        <f>14818390+3000000+1732645</f>
        <v>19551035</v>
      </c>
      <c r="L21" s="106"/>
      <c r="M21" s="104"/>
      <c r="N21" s="104"/>
      <c r="O21" s="104">
        <f>14818390+3000000+1732645</f>
        <v>19551035</v>
      </c>
      <c r="P21" s="103">
        <f t="shared" si="1"/>
        <v>30943875</v>
      </c>
    </row>
    <row r="22" spans="1:16" s="49" customFormat="1" ht="17.25" customHeight="1">
      <c r="A22" s="33"/>
      <c r="B22" s="33"/>
      <c r="C22" s="72"/>
      <c r="D22" s="19" t="s">
        <v>171</v>
      </c>
      <c r="E22" s="103"/>
      <c r="F22" s="104"/>
      <c r="G22" s="104"/>
      <c r="H22" s="104"/>
      <c r="I22" s="104"/>
      <c r="J22" s="103">
        <f>L22</f>
        <v>0</v>
      </c>
      <c r="K22" s="105"/>
      <c r="L22" s="106"/>
      <c r="M22" s="104"/>
      <c r="N22" s="104"/>
      <c r="O22" s="104"/>
      <c r="P22" s="103"/>
    </row>
    <row r="23" spans="1:16" s="49" customFormat="1" ht="93" customHeight="1">
      <c r="A23" s="33"/>
      <c r="B23" s="33"/>
      <c r="C23" s="72"/>
      <c r="D23" s="19" t="s">
        <v>172</v>
      </c>
      <c r="E23" s="130">
        <f t="shared" si="0"/>
        <v>721000</v>
      </c>
      <c r="F23" s="129">
        <v>721000</v>
      </c>
      <c r="G23" s="104"/>
      <c r="H23" s="104"/>
      <c r="I23" s="104"/>
      <c r="J23" s="103">
        <f>L23</f>
        <v>0</v>
      </c>
      <c r="K23" s="105"/>
      <c r="L23" s="106"/>
      <c r="M23" s="104"/>
      <c r="N23" s="104"/>
      <c r="O23" s="104"/>
      <c r="P23" s="130">
        <f t="shared" si="1"/>
        <v>721000</v>
      </c>
    </row>
    <row r="24" spans="1:16" s="49" customFormat="1" ht="51.75" customHeight="1">
      <c r="A24" s="33" t="s">
        <v>94</v>
      </c>
      <c r="B24" s="33">
        <v>2111</v>
      </c>
      <c r="C24" s="72" t="s">
        <v>95</v>
      </c>
      <c r="D24" s="73" t="s">
        <v>127</v>
      </c>
      <c r="E24" s="103">
        <f t="shared" si="0"/>
        <v>4513514</v>
      </c>
      <c r="F24" s="104">
        <f>4170524+77160+15000+241830+9000</f>
        <v>4513514</v>
      </c>
      <c r="G24" s="104"/>
      <c r="H24" s="104"/>
      <c r="I24" s="104"/>
      <c r="J24" s="103">
        <f>L24+O24</f>
        <v>4999000</v>
      </c>
      <c r="K24" s="104">
        <f>4999000-3600840+3600840</f>
        <v>4999000</v>
      </c>
      <c r="L24" s="104"/>
      <c r="M24" s="104"/>
      <c r="N24" s="104"/>
      <c r="O24" s="104">
        <f>4999000-3600840+3600840</f>
        <v>4999000</v>
      </c>
      <c r="P24" s="103">
        <f t="shared" si="1"/>
        <v>9512514</v>
      </c>
    </row>
    <row r="25" spans="1:16" s="49" customFormat="1" ht="36.75" customHeight="1">
      <c r="A25" s="33" t="s">
        <v>29</v>
      </c>
      <c r="B25" s="33"/>
      <c r="C25" s="34"/>
      <c r="D25" s="36" t="s">
        <v>30</v>
      </c>
      <c r="E25" s="103">
        <f aca="true" t="shared" si="2" ref="E25:E33">F25+I25</f>
        <v>9918465</v>
      </c>
      <c r="F25" s="104">
        <f>F34+F36+F38+F26+F27+F28+F29+F30+F31+F32+F33+F35</f>
        <v>9918465</v>
      </c>
      <c r="G25" s="104">
        <f>G34+G36+G38+G26+G27+G28+G29+G30+G31+G32+G33+G35</f>
        <v>5344752</v>
      </c>
      <c r="H25" s="104">
        <f>H34+H36+H38+H26+H27+H28+H29+H30+H31+H32+H33+H35</f>
        <v>589215</v>
      </c>
      <c r="I25" s="104">
        <f>I34+I36+I38+I26+I27+I28+I29+I30+I31+I32+I33+I35</f>
        <v>0</v>
      </c>
      <c r="J25" s="103">
        <f>L25+O25</f>
        <v>1136770</v>
      </c>
      <c r="K25" s="104">
        <f>K34+K36+K38+K26+K27+K28+K29+K30+K31+K32+K33</f>
        <v>700000</v>
      </c>
      <c r="L25" s="104">
        <f>L34+L36+L38+L26+L27+L28+L29+L30+L31+L32+L33</f>
        <v>436770</v>
      </c>
      <c r="M25" s="104">
        <f>M34+M36+M38+M26+M27+M28+M29+M30+M31+M32+M33</f>
        <v>59400</v>
      </c>
      <c r="N25" s="104">
        <f>N34+N36+N38+N26+N27+N28+N29+N30+N31+N32+N33</f>
        <v>0</v>
      </c>
      <c r="O25" s="104">
        <f>O34+O36+O38+O26+O27+O28+O29+O30+O31+O32+O33</f>
        <v>700000</v>
      </c>
      <c r="P25" s="103">
        <f aca="true" t="shared" si="3" ref="P25:P33">E25+J25</f>
        <v>11055235</v>
      </c>
    </row>
    <row r="26" spans="1:16" s="49" customFormat="1" ht="36.75" customHeight="1">
      <c r="A26" s="27" t="s">
        <v>103</v>
      </c>
      <c r="B26" s="82">
        <v>3032</v>
      </c>
      <c r="C26" s="86">
        <v>1070</v>
      </c>
      <c r="D26" s="83" t="s">
        <v>104</v>
      </c>
      <c r="E26" s="103">
        <f t="shared" si="2"/>
        <v>30000</v>
      </c>
      <c r="F26" s="104">
        <f>65000-35000</f>
        <v>30000</v>
      </c>
      <c r="G26" s="104"/>
      <c r="H26" s="104"/>
      <c r="I26" s="104"/>
      <c r="J26" s="103"/>
      <c r="K26" s="104"/>
      <c r="L26" s="104"/>
      <c r="M26" s="104"/>
      <c r="N26" s="104"/>
      <c r="O26" s="104"/>
      <c r="P26" s="103">
        <f t="shared" si="3"/>
        <v>30000</v>
      </c>
    </row>
    <row r="27" spans="1:16" s="49" customFormat="1" ht="48" customHeight="1">
      <c r="A27" s="27" t="s">
        <v>102</v>
      </c>
      <c r="B27" s="82">
        <v>3033</v>
      </c>
      <c r="C27" s="86">
        <v>1070</v>
      </c>
      <c r="D27" s="83" t="s">
        <v>105</v>
      </c>
      <c r="E27" s="103">
        <f t="shared" si="2"/>
        <v>12000</v>
      </c>
      <c r="F27" s="104">
        <v>12000</v>
      </c>
      <c r="G27" s="104"/>
      <c r="H27" s="104"/>
      <c r="I27" s="104"/>
      <c r="J27" s="103"/>
      <c r="K27" s="104"/>
      <c r="L27" s="104"/>
      <c r="M27" s="104"/>
      <c r="N27" s="104"/>
      <c r="O27" s="104"/>
      <c r="P27" s="103">
        <f t="shared" si="3"/>
        <v>12000</v>
      </c>
    </row>
    <row r="28" spans="1:16" s="49" customFormat="1" ht="52.5" customHeight="1">
      <c r="A28" s="27" t="s">
        <v>106</v>
      </c>
      <c r="B28" s="82">
        <v>3035</v>
      </c>
      <c r="C28" s="86">
        <v>1070</v>
      </c>
      <c r="D28" s="83" t="s">
        <v>107</v>
      </c>
      <c r="E28" s="103">
        <f t="shared" si="2"/>
        <v>50000</v>
      </c>
      <c r="F28" s="104">
        <v>50000</v>
      </c>
      <c r="G28" s="104"/>
      <c r="H28" s="104"/>
      <c r="I28" s="104"/>
      <c r="J28" s="103"/>
      <c r="K28" s="104"/>
      <c r="L28" s="104"/>
      <c r="M28" s="104"/>
      <c r="N28" s="104"/>
      <c r="O28" s="104"/>
      <c r="P28" s="103">
        <f t="shared" si="3"/>
        <v>50000</v>
      </c>
    </row>
    <row r="29" spans="1:16" s="49" customFormat="1" ht="46.5" customHeight="1">
      <c r="A29" s="27" t="s">
        <v>96</v>
      </c>
      <c r="B29" s="82">
        <v>3050</v>
      </c>
      <c r="C29" s="28" t="s">
        <v>97</v>
      </c>
      <c r="D29" s="83" t="s">
        <v>98</v>
      </c>
      <c r="E29" s="103">
        <f t="shared" si="2"/>
        <v>120200</v>
      </c>
      <c r="F29" s="104">
        <v>120200</v>
      </c>
      <c r="G29" s="104"/>
      <c r="H29" s="104"/>
      <c r="I29" s="104"/>
      <c r="J29" s="103"/>
      <c r="K29" s="104"/>
      <c r="L29" s="104"/>
      <c r="M29" s="104"/>
      <c r="N29" s="104"/>
      <c r="O29" s="104"/>
      <c r="P29" s="103">
        <f t="shared" si="3"/>
        <v>120200</v>
      </c>
    </row>
    <row r="30" spans="1:16" s="49" customFormat="1" ht="46.5" customHeight="1">
      <c r="A30" s="27" t="s">
        <v>99</v>
      </c>
      <c r="B30" s="82">
        <v>3090</v>
      </c>
      <c r="C30" s="84">
        <v>1030</v>
      </c>
      <c r="D30" s="83" t="s">
        <v>100</v>
      </c>
      <c r="E30" s="103">
        <f t="shared" si="2"/>
        <v>8372</v>
      </c>
      <c r="F30" s="104">
        <v>8372</v>
      </c>
      <c r="G30" s="104"/>
      <c r="H30" s="104"/>
      <c r="I30" s="104"/>
      <c r="J30" s="103"/>
      <c r="K30" s="104"/>
      <c r="L30" s="104"/>
      <c r="M30" s="104"/>
      <c r="N30" s="104"/>
      <c r="O30" s="104"/>
      <c r="P30" s="103">
        <f t="shared" si="3"/>
        <v>8372</v>
      </c>
    </row>
    <row r="31" spans="1:16" s="49" customFormat="1" ht="67.5" customHeight="1">
      <c r="A31" s="27" t="s">
        <v>110</v>
      </c>
      <c r="B31" s="82">
        <v>3104</v>
      </c>
      <c r="C31" s="84">
        <v>1020</v>
      </c>
      <c r="D31" s="83" t="s">
        <v>111</v>
      </c>
      <c r="E31" s="103">
        <f t="shared" si="2"/>
        <v>7577056</v>
      </c>
      <c r="F31" s="104">
        <f>7344144+38190+21615-65000+30304+207803</f>
        <v>7577056</v>
      </c>
      <c r="G31" s="104">
        <f>4974078+24839+136835</f>
        <v>5135752</v>
      </c>
      <c r="H31" s="104">
        <f>570215+19000</f>
        <v>589215</v>
      </c>
      <c r="I31" s="104"/>
      <c r="J31" s="103">
        <f>L31+O31</f>
        <v>436770</v>
      </c>
      <c r="K31" s="104"/>
      <c r="L31" s="104">
        <f>344300+92470</f>
        <v>436770</v>
      </c>
      <c r="M31" s="104">
        <v>59400</v>
      </c>
      <c r="N31" s="104"/>
      <c r="O31" s="104"/>
      <c r="P31" s="103">
        <f t="shared" si="3"/>
        <v>8013826</v>
      </c>
    </row>
    <row r="32" spans="1:16" s="49" customFormat="1" ht="102" customHeight="1">
      <c r="A32" s="27" t="s">
        <v>108</v>
      </c>
      <c r="B32" s="82">
        <v>3160</v>
      </c>
      <c r="C32" s="84">
        <v>1010</v>
      </c>
      <c r="D32" s="83" t="s">
        <v>109</v>
      </c>
      <c r="E32" s="103">
        <f t="shared" si="2"/>
        <v>200000</v>
      </c>
      <c r="F32" s="104">
        <f>100000+100000</f>
        <v>200000</v>
      </c>
      <c r="G32" s="104"/>
      <c r="H32" s="104"/>
      <c r="I32" s="104"/>
      <c r="J32" s="103"/>
      <c r="K32" s="104"/>
      <c r="L32" s="104"/>
      <c r="M32" s="104"/>
      <c r="N32" s="104"/>
      <c r="O32" s="104"/>
      <c r="P32" s="103">
        <f t="shared" si="3"/>
        <v>200000</v>
      </c>
    </row>
    <row r="33" spans="1:16" s="49" customFormat="1" ht="63" customHeight="1">
      <c r="A33" s="85" t="s">
        <v>101</v>
      </c>
      <c r="B33" s="82">
        <v>3171</v>
      </c>
      <c r="C33" s="84">
        <v>1010</v>
      </c>
      <c r="D33" s="83" t="s">
        <v>122</v>
      </c>
      <c r="E33" s="103">
        <f t="shared" si="2"/>
        <v>14020</v>
      </c>
      <c r="F33" s="104">
        <v>14020</v>
      </c>
      <c r="G33" s="104"/>
      <c r="H33" s="104"/>
      <c r="I33" s="104"/>
      <c r="J33" s="103"/>
      <c r="K33" s="104"/>
      <c r="L33" s="104"/>
      <c r="M33" s="104"/>
      <c r="N33" s="104"/>
      <c r="O33" s="104"/>
      <c r="P33" s="103">
        <f t="shared" si="3"/>
        <v>14020</v>
      </c>
    </row>
    <row r="34" spans="1:16" s="49" customFormat="1" ht="87.75" customHeight="1">
      <c r="A34" s="27" t="s">
        <v>47</v>
      </c>
      <c r="B34" s="27">
        <v>3180</v>
      </c>
      <c r="C34" s="28" t="s">
        <v>38</v>
      </c>
      <c r="D34" s="29" t="s">
        <v>46</v>
      </c>
      <c r="E34" s="103">
        <f>F34+I34</f>
        <v>53000</v>
      </c>
      <c r="F34" s="104">
        <f>45000+8000</f>
        <v>53000</v>
      </c>
      <c r="G34" s="104"/>
      <c r="H34" s="104"/>
      <c r="I34" s="104"/>
      <c r="J34" s="103"/>
      <c r="K34" s="105"/>
      <c r="L34" s="104"/>
      <c r="M34" s="104"/>
      <c r="N34" s="104"/>
      <c r="O34" s="104"/>
      <c r="P34" s="103">
        <f>E34+J34</f>
        <v>53000</v>
      </c>
    </row>
    <row r="35" spans="1:16" s="49" customFormat="1" ht="34.5" customHeight="1">
      <c r="A35" s="24" t="s">
        <v>154</v>
      </c>
      <c r="B35" s="24" t="s">
        <v>155</v>
      </c>
      <c r="C35" s="17" t="s">
        <v>156</v>
      </c>
      <c r="D35" s="25" t="s">
        <v>157</v>
      </c>
      <c r="E35" s="103">
        <f>F35+I35</f>
        <v>255000</v>
      </c>
      <c r="F35" s="104">
        <v>255000</v>
      </c>
      <c r="G35" s="104">
        <v>209000</v>
      </c>
      <c r="H35" s="104"/>
      <c r="I35" s="104"/>
      <c r="J35" s="103"/>
      <c r="K35" s="105"/>
      <c r="L35" s="104"/>
      <c r="M35" s="104"/>
      <c r="N35" s="104"/>
      <c r="O35" s="104"/>
      <c r="P35" s="103">
        <f>E35+J35</f>
        <v>255000</v>
      </c>
    </row>
    <row r="36" spans="1:16" s="49" customFormat="1" ht="25.5">
      <c r="A36" s="24" t="s">
        <v>77</v>
      </c>
      <c r="B36" s="24" t="s">
        <v>78</v>
      </c>
      <c r="C36" s="17" t="s">
        <v>16</v>
      </c>
      <c r="D36" s="25" t="s">
        <v>35</v>
      </c>
      <c r="E36" s="103">
        <f>I36+F36</f>
        <v>1321072</v>
      </c>
      <c r="F36" s="104">
        <f>178072+323000+150000+1000000-590000+210000+50000</f>
        <v>1321072</v>
      </c>
      <c r="G36" s="104"/>
      <c r="H36" s="104"/>
      <c r="I36" s="104"/>
      <c r="J36" s="103">
        <f>L36+O36</f>
        <v>700000</v>
      </c>
      <c r="K36" s="105">
        <v>700000</v>
      </c>
      <c r="L36" s="104"/>
      <c r="M36" s="104"/>
      <c r="N36" s="104"/>
      <c r="O36" s="104">
        <v>700000</v>
      </c>
      <c r="P36" s="103">
        <f aca="true" t="shared" si="4" ref="P36:P75">E36+J36</f>
        <v>2021072</v>
      </c>
    </row>
    <row r="37" spans="1:16" s="49" customFormat="1" ht="12.75" customHeight="1">
      <c r="A37" s="33"/>
      <c r="B37" s="33"/>
      <c r="C37" s="34"/>
      <c r="D37" s="37"/>
      <c r="E37" s="103"/>
      <c r="F37" s="104"/>
      <c r="G37" s="104"/>
      <c r="H37" s="104"/>
      <c r="I37" s="104"/>
      <c r="J37" s="103"/>
      <c r="K37" s="105"/>
      <c r="L37" s="104"/>
      <c r="M37" s="104"/>
      <c r="N37" s="104"/>
      <c r="O37" s="104"/>
      <c r="P37" s="103"/>
    </row>
    <row r="38" spans="1:16" s="49" customFormat="1" ht="33.75" customHeight="1">
      <c r="A38" s="33" t="s">
        <v>72</v>
      </c>
      <c r="B38" s="33">
        <v>3242</v>
      </c>
      <c r="C38" s="34" t="s">
        <v>17</v>
      </c>
      <c r="D38" s="36" t="s">
        <v>71</v>
      </c>
      <c r="E38" s="103">
        <f>F38+I38</f>
        <v>277745</v>
      </c>
      <c r="F38" s="104">
        <f>307000+17545-78000+31200</f>
        <v>277745</v>
      </c>
      <c r="G38" s="104">
        <v>0</v>
      </c>
      <c r="H38" s="104">
        <v>0</v>
      </c>
      <c r="I38" s="104">
        <v>0</v>
      </c>
      <c r="J38" s="103">
        <v>0</v>
      </c>
      <c r="K38" s="105"/>
      <c r="L38" s="104">
        <v>0</v>
      </c>
      <c r="M38" s="104">
        <v>0</v>
      </c>
      <c r="N38" s="104">
        <v>0</v>
      </c>
      <c r="O38" s="104">
        <v>0</v>
      </c>
      <c r="P38" s="103">
        <f t="shared" si="4"/>
        <v>277745</v>
      </c>
    </row>
    <row r="39" spans="1:16" s="49" customFormat="1" ht="12.75" customHeight="1">
      <c r="A39" s="33"/>
      <c r="B39" s="33"/>
      <c r="C39" s="34"/>
      <c r="D39" s="36"/>
      <c r="E39" s="103"/>
      <c r="F39" s="104"/>
      <c r="G39" s="104"/>
      <c r="H39" s="104"/>
      <c r="I39" s="104"/>
      <c r="J39" s="103"/>
      <c r="K39" s="105"/>
      <c r="L39" s="104"/>
      <c r="M39" s="104"/>
      <c r="N39" s="104"/>
      <c r="O39" s="104"/>
      <c r="P39" s="103"/>
    </row>
    <row r="40" spans="1:16" s="49" customFormat="1" ht="8.25" customHeight="1">
      <c r="A40" s="33"/>
      <c r="B40" s="33"/>
      <c r="C40" s="34"/>
      <c r="D40" s="37"/>
      <c r="E40" s="103"/>
      <c r="F40" s="104"/>
      <c r="G40" s="104"/>
      <c r="H40" s="104"/>
      <c r="I40" s="104"/>
      <c r="J40" s="103"/>
      <c r="K40" s="105"/>
      <c r="L40" s="104"/>
      <c r="M40" s="104"/>
      <c r="N40" s="104"/>
      <c r="O40" s="104"/>
      <c r="P40" s="103"/>
    </row>
    <row r="41" spans="1:16" s="49" customFormat="1" ht="22.5" customHeight="1">
      <c r="A41" s="33" t="s">
        <v>73</v>
      </c>
      <c r="B41" s="33">
        <v>4082</v>
      </c>
      <c r="C41" s="61" t="s">
        <v>19</v>
      </c>
      <c r="D41" s="36" t="s">
        <v>74</v>
      </c>
      <c r="E41" s="103">
        <f>F41</f>
        <v>40000</v>
      </c>
      <c r="F41" s="104">
        <f>50000-10000</f>
        <v>40000</v>
      </c>
      <c r="G41" s="104"/>
      <c r="H41" s="104"/>
      <c r="I41" s="104"/>
      <c r="J41" s="103"/>
      <c r="K41" s="105"/>
      <c r="L41" s="104"/>
      <c r="M41" s="104"/>
      <c r="N41" s="104"/>
      <c r="O41" s="104"/>
      <c r="P41" s="103">
        <f aca="true" t="shared" si="5" ref="P41:P47">E41+J41</f>
        <v>40000</v>
      </c>
    </row>
    <row r="42" spans="1:16" s="49" customFormat="1" ht="36.75" customHeight="1">
      <c r="A42" s="33" t="s">
        <v>83</v>
      </c>
      <c r="B42" s="33">
        <v>6013</v>
      </c>
      <c r="C42" s="34" t="s">
        <v>21</v>
      </c>
      <c r="D42" s="36" t="s">
        <v>84</v>
      </c>
      <c r="E42" s="103">
        <f>F42</f>
        <v>12584220</v>
      </c>
      <c r="F42" s="104">
        <f>300000+3875240+2000000+30000+208292+1668260+1000000+1089141+3203967-790680</f>
        <v>12584220</v>
      </c>
      <c r="G42" s="104"/>
      <c r="H42" s="104"/>
      <c r="I42" s="104"/>
      <c r="J42" s="103">
        <f aca="true" t="shared" si="6" ref="J42:J51">L42+O42</f>
        <v>0</v>
      </c>
      <c r="K42" s="105"/>
      <c r="L42" s="105"/>
      <c r="M42" s="105"/>
      <c r="N42" s="105"/>
      <c r="O42" s="105"/>
      <c r="P42" s="103">
        <f t="shared" si="5"/>
        <v>12584220</v>
      </c>
    </row>
    <row r="43" spans="1:16" s="49" customFormat="1" ht="67.5" customHeight="1">
      <c r="A43" s="33">
        <v>116020</v>
      </c>
      <c r="B43" s="149">
        <v>6020</v>
      </c>
      <c r="C43" s="150" t="s">
        <v>21</v>
      </c>
      <c r="D43" s="151" t="s">
        <v>213</v>
      </c>
      <c r="E43" s="103">
        <f>F43</f>
        <v>1062842</v>
      </c>
      <c r="F43" s="104">
        <f>101800+860897+100145</f>
        <v>1062842</v>
      </c>
      <c r="G43" s="104"/>
      <c r="H43" s="104"/>
      <c r="I43" s="104"/>
      <c r="J43" s="103"/>
      <c r="K43" s="105"/>
      <c r="L43" s="105"/>
      <c r="M43" s="105"/>
      <c r="N43" s="105"/>
      <c r="O43" s="105"/>
      <c r="P43" s="103">
        <f t="shared" si="5"/>
        <v>1062842</v>
      </c>
    </row>
    <row r="44" spans="1:16" s="49" customFormat="1" ht="32.25" customHeight="1">
      <c r="A44" s="33" t="s">
        <v>48</v>
      </c>
      <c r="B44" s="33" t="s">
        <v>49</v>
      </c>
      <c r="C44" s="34" t="s">
        <v>21</v>
      </c>
      <c r="D44" s="36" t="s">
        <v>50</v>
      </c>
      <c r="E44" s="135">
        <f>F44+I44</f>
        <v>40966934.7</v>
      </c>
      <c r="F44" s="132">
        <f>15584747+18750000+3000000+3000000+281005+988987+1265688.7-4000000+4000000+50000+1150000-2153836+11385-860897-100145</f>
        <v>40966934.7</v>
      </c>
      <c r="G44" s="104"/>
      <c r="H44" s="104">
        <f>2609747-1000000-400000</f>
        <v>1209747</v>
      </c>
      <c r="I44" s="104">
        <v>0</v>
      </c>
      <c r="J44" s="135">
        <f t="shared" si="6"/>
        <v>7285524.16</v>
      </c>
      <c r="K44" s="131">
        <f>7285523.86-1265688.7+1265689+2500000-2500000</f>
        <v>7285524.16</v>
      </c>
      <c r="L44" s="104"/>
      <c r="M44" s="104"/>
      <c r="N44" s="104"/>
      <c r="O44" s="132">
        <f>7285523.86-1265688.7+1265689+2500000-2500000</f>
        <v>7285524.16</v>
      </c>
      <c r="P44" s="135">
        <f t="shared" si="5"/>
        <v>48252458.86</v>
      </c>
    </row>
    <row r="45" spans="1:16" s="49" customFormat="1" ht="137.25" customHeight="1">
      <c r="A45" s="33" t="s">
        <v>214</v>
      </c>
      <c r="B45" s="33">
        <v>6071</v>
      </c>
      <c r="C45" s="34" t="s">
        <v>56</v>
      </c>
      <c r="D45" s="36" t="s">
        <v>215</v>
      </c>
      <c r="E45" s="135">
        <f>F45+I45</f>
        <v>1500000</v>
      </c>
      <c r="F45" s="132">
        <v>1500000</v>
      </c>
      <c r="G45" s="104"/>
      <c r="H45" s="104"/>
      <c r="I45" s="104"/>
      <c r="J45" s="103"/>
      <c r="K45" s="131"/>
      <c r="L45" s="104"/>
      <c r="M45" s="104"/>
      <c r="N45" s="104"/>
      <c r="O45" s="132"/>
      <c r="P45" s="135">
        <f t="shared" si="5"/>
        <v>1500000</v>
      </c>
    </row>
    <row r="46" spans="1:16" s="49" customFormat="1" ht="35.25" customHeight="1">
      <c r="A46" s="33" t="s">
        <v>192</v>
      </c>
      <c r="B46" s="33">
        <v>6082</v>
      </c>
      <c r="C46" s="34" t="s">
        <v>193</v>
      </c>
      <c r="D46" s="146" t="s">
        <v>194</v>
      </c>
      <c r="E46" s="103">
        <f>F46+I46</f>
        <v>0</v>
      </c>
      <c r="F46" s="104"/>
      <c r="G46" s="104"/>
      <c r="H46" s="104"/>
      <c r="I46" s="104"/>
      <c r="J46" s="103">
        <f t="shared" si="6"/>
        <v>2600000</v>
      </c>
      <c r="K46" s="105">
        <f>1200000+1400000</f>
        <v>2600000</v>
      </c>
      <c r="L46" s="104"/>
      <c r="M46" s="104"/>
      <c r="N46" s="104"/>
      <c r="O46" s="104">
        <f>1200000+1400000</f>
        <v>2600000</v>
      </c>
      <c r="P46" s="103">
        <f t="shared" si="5"/>
        <v>2600000</v>
      </c>
    </row>
    <row r="47" spans="1:16" s="49" customFormat="1" ht="34.5" customHeight="1">
      <c r="A47" s="33" t="s">
        <v>54</v>
      </c>
      <c r="B47" s="33" t="s">
        <v>55</v>
      </c>
      <c r="C47" s="34" t="s">
        <v>56</v>
      </c>
      <c r="D47" s="36" t="s">
        <v>57</v>
      </c>
      <c r="E47" s="103">
        <f>F47+I47</f>
        <v>55000</v>
      </c>
      <c r="F47" s="104">
        <v>55000</v>
      </c>
      <c r="G47" s="106"/>
      <c r="H47" s="106"/>
      <c r="I47" s="106"/>
      <c r="J47" s="103">
        <f t="shared" si="6"/>
        <v>0</v>
      </c>
      <c r="K47" s="107"/>
      <c r="L47" s="106"/>
      <c r="M47" s="106"/>
      <c r="N47" s="106"/>
      <c r="O47" s="106"/>
      <c r="P47" s="103">
        <f t="shared" si="5"/>
        <v>55000</v>
      </c>
    </row>
    <row r="48" spans="1:16" s="49" customFormat="1" ht="34.5" customHeight="1">
      <c r="A48" s="33" t="s">
        <v>195</v>
      </c>
      <c r="B48" s="53">
        <v>7130</v>
      </c>
      <c r="C48" s="59" t="s">
        <v>196</v>
      </c>
      <c r="D48" s="147" t="s">
        <v>197</v>
      </c>
      <c r="E48" s="103">
        <f>F48+I48</f>
        <v>112000</v>
      </c>
      <c r="F48" s="104">
        <f>16000+114000-18000</f>
        <v>112000</v>
      </c>
      <c r="G48" s="106"/>
      <c r="H48" s="106"/>
      <c r="I48" s="106"/>
      <c r="J48" s="103">
        <f t="shared" si="6"/>
        <v>0</v>
      </c>
      <c r="K48" s="107"/>
      <c r="L48" s="106"/>
      <c r="M48" s="106"/>
      <c r="N48" s="106"/>
      <c r="O48" s="106"/>
      <c r="P48" s="103">
        <f t="shared" si="4"/>
        <v>112000</v>
      </c>
    </row>
    <row r="49" spans="1:16" s="49" customFormat="1" ht="34.5" customHeight="1">
      <c r="A49" s="33" t="s">
        <v>189</v>
      </c>
      <c r="B49" s="99">
        <v>7322</v>
      </c>
      <c r="C49" s="58" t="s">
        <v>130</v>
      </c>
      <c r="D49" s="133" t="s">
        <v>190</v>
      </c>
      <c r="E49" s="103"/>
      <c r="F49" s="104"/>
      <c r="G49" s="106"/>
      <c r="H49" s="106"/>
      <c r="I49" s="106"/>
      <c r="J49" s="103">
        <f t="shared" si="6"/>
        <v>789000</v>
      </c>
      <c r="K49" s="105">
        <f>2000000-1211000</f>
        <v>789000</v>
      </c>
      <c r="L49" s="104"/>
      <c r="M49" s="104"/>
      <c r="N49" s="104"/>
      <c r="O49" s="104">
        <f>2000000-1211000</f>
        <v>789000</v>
      </c>
      <c r="P49" s="103">
        <f t="shared" si="4"/>
        <v>789000</v>
      </c>
    </row>
    <row r="50" spans="1:16" s="49" customFormat="1" ht="34.5" customHeight="1">
      <c r="A50" s="33" t="s">
        <v>173</v>
      </c>
      <c r="B50" s="99">
        <v>7330</v>
      </c>
      <c r="C50" s="58" t="s">
        <v>130</v>
      </c>
      <c r="D50" s="133" t="s">
        <v>174</v>
      </c>
      <c r="E50" s="103"/>
      <c r="F50" s="104"/>
      <c r="G50" s="106"/>
      <c r="H50" s="106"/>
      <c r="I50" s="106"/>
      <c r="J50" s="103">
        <f t="shared" si="6"/>
        <v>1847919</v>
      </c>
      <c r="K50" s="105">
        <f>1500000+172660+1400000-240219+515478-1500000</f>
        <v>1847919</v>
      </c>
      <c r="L50" s="104"/>
      <c r="M50" s="104"/>
      <c r="N50" s="104"/>
      <c r="O50" s="104">
        <f>1500000+172660+1400000-240219+515478-1500000</f>
        <v>1847919</v>
      </c>
      <c r="P50" s="103">
        <f t="shared" si="4"/>
        <v>1847919</v>
      </c>
    </row>
    <row r="51" spans="1:16" s="49" customFormat="1" ht="54.75" customHeight="1">
      <c r="A51" s="33" t="s">
        <v>175</v>
      </c>
      <c r="B51" s="27">
        <v>7363</v>
      </c>
      <c r="C51" s="28" t="s">
        <v>160</v>
      </c>
      <c r="D51" s="29" t="s">
        <v>176</v>
      </c>
      <c r="E51" s="103"/>
      <c r="F51" s="104"/>
      <c r="G51" s="106"/>
      <c r="H51" s="106"/>
      <c r="I51" s="106"/>
      <c r="J51" s="135">
        <f t="shared" si="6"/>
        <v>295275.1</v>
      </c>
      <c r="K51" s="131">
        <v>295275.1</v>
      </c>
      <c r="L51" s="104"/>
      <c r="M51" s="104"/>
      <c r="N51" s="104"/>
      <c r="O51" s="132">
        <v>295275.1</v>
      </c>
      <c r="P51" s="135">
        <f t="shared" si="4"/>
        <v>295275.1</v>
      </c>
    </row>
    <row r="52" spans="1:16" s="49" customFormat="1" ht="24.75" customHeight="1">
      <c r="A52" s="33"/>
      <c r="B52" s="27"/>
      <c r="C52" s="28"/>
      <c r="D52" s="134" t="s">
        <v>171</v>
      </c>
      <c r="E52" s="103"/>
      <c r="F52" s="104"/>
      <c r="G52" s="106"/>
      <c r="H52" s="106"/>
      <c r="I52" s="106"/>
      <c r="J52" s="103"/>
      <c r="K52" s="105"/>
      <c r="L52" s="104"/>
      <c r="M52" s="104"/>
      <c r="N52" s="104"/>
      <c r="O52" s="104"/>
      <c r="P52" s="135"/>
    </row>
    <row r="53" spans="1:16" s="49" customFormat="1" ht="34.5" customHeight="1">
      <c r="A53" s="33"/>
      <c r="B53" s="27"/>
      <c r="C53" s="28"/>
      <c r="D53" s="83" t="s">
        <v>177</v>
      </c>
      <c r="E53" s="103"/>
      <c r="F53" s="104"/>
      <c r="G53" s="106"/>
      <c r="H53" s="106"/>
      <c r="I53" s="106"/>
      <c r="J53" s="135">
        <f>L53+O53</f>
        <v>285090.1</v>
      </c>
      <c r="K53" s="131">
        <v>285090.1</v>
      </c>
      <c r="L53" s="132"/>
      <c r="M53" s="132"/>
      <c r="N53" s="132"/>
      <c r="O53" s="132">
        <v>285090.1</v>
      </c>
      <c r="P53" s="135">
        <f t="shared" si="4"/>
        <v>285090.1</v>
      </c>
    </row>
    <row r="54" spans="1:16" s="49" customFormat="1" ht="57.75" customHeight="1">
      <c r="A54" s="33" t="s">
        <v>178</v>
      </c>
      <c r="B54" s="27">
        <v>7611</v>
      </c>
      <c r="C54" s="28" t="s">
        <v>160</v>
      </c>
      <c r="D54" s="133" t="s">
        <v>179</v>
      </c>
      <c r="E54" s="103">
        <f>F54+I54</f>
        <v>174900</v>
      </c>
      <c r="F54" s="104">
        <f>150000+24900</f>
        <v>174900</v>
      </c>
      <c r="G54" s="106"/>
      <c r="H54" s="106"/>
      <c r="I54" s="106"/>
      <c r="J54" s="135"/>
      <c r="K54" s="131"/>
      <c r="L54" s="132"/>
      <c r="M54" s="132"/>
      <c r="N54" s="132"/>
      <c r="O54" s="132"/>
      <c r="P54" s="135">
        <f t="shared" si="4"/>
        <v>174900</v>
      </c>
    </row>
    <row r="55" spans="1:16" s="49" customFormat="1" ht="34.5" customHeight="1">
      <c r="A55" s="125" t="s">
        <v>162</v>
      </c>
      <c r="B55" s="126">
        <v>7680</v>
      </c>
      <c r="C55" s="127" t="s">
        <v>160</v>
      </c>
      <c r="D55" s="128" t="s">
        <v>161</v>
      </c>
      <c r="E55" s="105">
        <f>F55+I55</f>
        <v>42200</v>
      </c>
      <c r="F55" s="105">
        <v>42200</v>
      </c>
      <c r="G55" s="107"/>
      <c r="H55" s="107"/>
      <c r="I55" s="107"/>
      <c r="J55" s="105"/>
      <c r="K55" s="107"/>
      <c r="L55" s="107"/>
      <c r="M55" s="107"/>
      <c r="N55" s="107"/>
      <c r="O55" s="107"/>
      <c r="P55" s="103">
        <f t="shared" si="4"/>
        <v>42200</v>
      </c>
    </row>
    <row r="56" spans="1:16" s="49" customFormat="1" ht="43.5" customHeight="1">
      <c r="A56" s="33" t="s">
        <v>151</v>
      </c>
      <c r="B56" s="99">
        <v>8110</v>
      </c>
      <c r="C56" s="58" t="s">
        <v>152</v>
      </c>
      <c r="D56" s="83" t="s">
        <v>153</v>
      </c>
      <c r="E56" s="103">
        <f>F56+I56</f>
        <v>426850</v>
      </c>
      <c r="F56" s="104">
        <f>160000+166850+100000</f>
        <v>426850</v>
      </c>
      <c r="G56" s="106"/>
      <c r="H56" s="106"/>
      <c r="I56" s="106"/>
      <c r="J56" s="103"/>
      <c r="K56" s="105"/>
      <c r="L56" s="104"/>
      <c r="M56" s="104"/>
      <c r="N56" s="104"/>
      <c r="O56" s="104"/>
      <c r="P56" s="103">
        <f t="shared" si="4"/>
        <v>426850</v>
      </c>
    </row>
    <row r="57" spans="1:16" s="49" customFormat="1" ht="25.5">
      <c r="A57" s="33" t="s">
        <v>51</v>
      </c>
      <c r="B57" s="53">
        <v>8230</v>
      </c>
      <c r="C57" s="59" t="s">
        <v>52</v>
      </c>
      <c r="D57" s="71" t="s">
        <v>53</v>
      </c>
      <c r="E57" s="103">
        <f>F57+I57</f>
        <v>2392738</v>
      </c>
      <c r="F57" s="104">
        <f>2392738</f>
        <v>2392738</v>
      </c>
      <c r="G57" s="104">
        <v>1765943</v>
      </c>
      <c r="H57" s="104">
        <v>30612</v>
      </c>
      <c r="I57" s="104"/>
      <c r="J57" s="135">
        <f>L57+O57</f>
        <v>820000</v>
      </c>
      <c r="K57" s="105">
        <f>400000+420000</f>
        <v>820000</v>
      </c>
      <c r="L57" s="104"/>
      <c r="M57" s="104"/>
      <c r="N57" s="104"/>
      <c r="O57" s="104">
        <f>400000+420000</f>
        <v>820000</v>
      </c>
      <c r="P57" s="103">
        <f t="shared" si="4"/>
        <v>3212738</v>
      </c>
    </row>
    <row r="58" spans="1:16" s="49" customFormat="1" ht="27.75" customHeight="1">
      <c r="A58" s="33" t="s">
        <v>180</v>
      </c>
      <c r="B58" s="27">
        <v>8240</v>
      </c>
      <c r="C58" s="28" t="s">
        <v>52</v>
      </c>
      <c r="D58" s="133" t="s">
        <v>181</v>
      </c>
      <c r="E58" s="135">
        <f>F58+I58</f>
        <v>2740184.44</v>
      </c>
      <c r="F58" s="132">
        <f>2000000+314636.44+425548</f>
        <v>2740184.44</v>
      </c>
      <c r="G58" s="104"/>
      <c r="H58" s="104"/>
      <c r="I58" s="104"/>
      <c r="J58" s="135">
        <f>L58+O58</f>
        <v>442154</v>
      </c>
      <c r="K58" s="105">
        <v>442154</v>
      </c>
      <c r="L58" s="104"/>
      <c r="M58" s="104"/>
      <c r="N58" s="104"/>
      <c r="O58" s="104">
        <v>442154</v>
      </c>
      <c r="P58" s="135">
        <f t="shared" si="4"/>
        <v>3182338.44</v>
      </c>
    </row>
    <row r="59" spans="1:16" s="49" customFormat="1" ht="27.75" customHeight="1">
      <c r="A59" s="33"/>
      <c r="B59" s="141"/>
      <c r="C59" s="142"/>
      <c r="D59" s="143" t="s">
        <v>171</v>
      </c>
      <c r="E59" s="103"/>
      <c r="F59" s="104"/>
      <c r="G59" s="104"/>
      <c r="H59" s="104"/>
      <c r="I59" s="104"/>
      <c r="J59" s="103"/>
      <c r="K59" s="105"/>
      <c r="L59" s="104"/>
      <c r="M59" s="104"/>
      <c r="N59" s="104"/>
      <c r="O59" s="104"/>
      <c r="P59" s="103"/>
    </row>
    <row r="60" spans="1:16" s="49" customFormat="1" ht="39" customHeight="1">
      <c r="A60" s="33"/>
      <c r="B60" s="141"/>
      <c r="C60" s="142"/>
      <c r="D60" s="143" t="s">
        <v>191</v>
      </c>
      <c r="E60" s="135">
        <f>F60+I60</f>
        <v>314636.44</v>
      </c>
      <c r="F60" s="132">
        <v>314636.44</v>
      </c>
      <c r="G60" s="104"/>
      <c r="H60" s="104"/>
      <c r="I60" s="104"/>
      <c r="J60" s="103"/>
      <c r="K60" s="105"/>
      <c r="L60" s="104"/>
      <c r="M60" s="104"/>
      <c r="N60" s="104"/>
      <c r="O60" s="104"/>
      <c r="P60" s="135">
        <f t="shared" si="4"/>
        <v>314636.44</v>
      </c>
    </row>
    <row r="61" spans="1:16" s="49" customFormat="1" ht="39.75" customHeight="1">
      <c r="A61" s="33" t="s">
        <v>58</v>
      </c>
      <c r="B61" s="53">
        <v>8340</v>
      </c>
      <c r="C61" s="59" t="s">
        <v>24</v>
      </c>
      <c r="D61" s="36" t="s">
        <v>59</v>
      </c>
      <c r="E61" s="103"/>
      <c r="F61" s="104"/>
      <c r="G61" s="104"/>
      <c r="H61" s="104"/>
      <c r="I61" s="104"/>
      <c r="J61" s="108">
        <f>L61+O61</f>
        <v>274000</v>
      </c>
      <c r="K61" s="109"/>
      <c r="L61" s="104">
        <f>34000+240000</f>
        <v>274000</v>
      </c>
      <c r="M61" s="104"/>
      <c r="N61" s="104"/>
      <c r="O61" s="104"/>
      <c r="P61" s="103">
        <f t="shared" si="4"/>
        <v>274000</v>
      </c>
    </row>
    <row r="62" spans="1:16" s="49" customFormat="1" ht="39.75" customHeight="1">
      <c r="A62" s="33" t="s">
        <v>210</v>
      </c>
      <c r="B62" s="53">
        <v>9770</v>
      </c>
      <c r="C62" s="59" t="s">
        <v>23</v>
      </c>
      <c r="D62" s="146" t="s">
        <v>211</v>
      </c>
      <c r="E62" s="135">
        <f>F62+I62</f>
        <v>11465664</v>
      </c>
      <c r="F62" s="104">
        <f>F64</f>
        <v>2474241</v>
      </c>
      <c r="G62" s="104">
        <f>G64</f>
        <v>0</v>
      </c>
      <c r="H62" s="104">
        <f>H64</f>
        <v>0</v>
      </c>
      <c r="I62" s="104">
        <f>I64</f>
        <v>8991423</v>
      </c>
      <c r="J62" s="108"/>
      <c r="K62" s="109"/>
      <c r="L62" s="104"/>
      <c r="M62" s="104"/>
      <c r="N62" s="104"/>
      <c r="O62" s="104"/>
      <c r="P62" s="103">
        <f t="shared" si="4"/>
        <v>11465664</v>
      </c>
    </row>
    <row r="63" spans="1:16" s="49" customFormat="1" ht="39.75" customHeight="1">
      <c r="A63" s="33"/>
      <c r="B63" s="53"/>
      <c r="C63" s="59"/>
      <c r="D63" s="148" t="s">
        <v>171</v>
      </c>
      <c r="E63" s="103"/>
      <c r="F63" s="104"/>
      <c r="G63" s="104"/>
      <c r="H63" s="104"/>
      <c r="I63" s="104"/>
      <c r="J63" s="108"/>
      <c r="K63" s="109"/>
      <c r="L63" s="104"/>
      <c r="M63" s="104"/>
      <c r="N63" s="104"/>
      <c r="O63" s="104"/>
      <c r="P63" s="103"/>
    </row>
    <row r="64" spans="1:16" s="49" customFormat="1" ht="131.25" customHeight="1">
      <c r="A64" s="33"/>
      <c r="B64" s="53"/>
      <c r="C64" s="59"/>
      <c r="D64" s="148" t="s">
        <v>212</v>
      </c>
      <c r="E64" s="135">
        <f>F64+I64</f>
        <v>11465664</v>
      </c>
      <c r="F64" s="104">
        <f>1016409+1000000+457832</f>
        <v>2474241</v>
      </c>
      <c r="G64" s="104"/>
      <c r="H64" s="104"/>
      <c r="I64" s="104">
        <f>3983591+1550000+3000000+457832</f>
        <v>8991423</v>
      </c>
      <c r="J64" s="108"/>
      <c r="K64" s="109"/>
      <c r="L64" s="104"/>
      <c r="M64" s="104"/>
      <c r="N64" s="104"/>
      <c r="O64" s="104"/>
      <c r="P64" s="103">
        <f t="shared" si="4"/>
        <v>11465664</v>
      </c>
    </row>
    <row r="65" spans="1:16" s="49" customFormat="1" ht="67.5" customHeight="1">
      <c r="A65" s="61" t="s">
        <v>222</v>
      </c>
      <c r="B65" s="53">
        <v>9800</v>
      </c>
      <c r="C65" s="59" t="s">
        <v>23</v>
      </c>
      <c r="D65" s="146" t="s">
        <v>200</v>
      </c>
      <c r="E65" s="135">
        <f>F65+I65</f>
        <v>3934149</v>
      </c>
      <c r="F65" s="104">
        <f>F67+F68+F69</f>
        <v>570230</v>
      </c>
      <c r="G65" s="104">
        <f>G67+G68+G69</f>
        <v>0</v>
      </c>
      <c r="H65" s="104">
        <f>H67+H68+H69</f>
        <v>0</v>
      </c>
      <c r="I65" s="104">
        <f>I67+I68+I69+I70+I71</f>
        <v>3363919</v>
      </c>
      <c r="J65" s="108">
        <f>L65+O65</f>
        <v>0</v>
      </c>
      <c r="K65" s="109"/>
      <c r="L65" s="104"/>
      <c r="M65" s="104"/>
      <c r="N65" s="104"/>
      <c r="O65" s="104"/>
      <c r="P65" s="103">
        <f>E65+J65</f>
        <v>3934149</v>
      </c>
    </row>
    <row r="66" spans="1:16" s="49" customFormat="1" ht="23.25" customHeight="1">
      <c r="A66" s="33"/>
      <c r="B66" s="53"/>
      <c r="C66" s="59"/>
      <c r="D66" s="148" t="s">
        <v>171</v>
      </c>
      <c r="E66" s="135"/>
      <c r="F66" s="104"/>
      <c r="G66" s="104"/>
      <c r="H66" s="104"/>
      <c r="I66" s="104"/>
      <c r="J66" s="108"/>
      <c r="K66" s="109"/>
      <c r="L66" s="104"/>
      <c r="M66" s="104"/>
      <c r="N66" s="104"/>
      <c r="O66" s="104"/>
      <c r="P66" s="103"/>
    </row>
    <row r="67" spans="1:16" s="49" customFormat="1" ht="81" customHeight="1">
      <c r="A67" s="33"/>
      <c r="B67" s="53"/>
      <c r="C67" s="59"/>
      <c r="D67" s="148" t="s">
        <v>198</v>
      </c>
      <c r="E67" s="135">
        <f aca="true" t="shared" si="7" ref="E67:E72">F67+I67</f>
        <v>120000</v>
      </c>
      <c r="F67" s="104">
        <v>120000</v>
      </c>
      <c r="G67" s="104"/>
      <c r="H67" s="104"/>
      <c r="I67" s="104"/>
      <c r="J67" s="108"/>
      <c r="K67" s="109"/>
      <c r="L67" s="104"/>
      <c r="M67" s="104"/>
      <c r="N67" s="104"/>
      <c r="O67" s="104"/>
      <c r="P67" s="103">
        <f t="shared" si="4"/>
        <v>120000</v>
      </c>
    </row>
    <row r="68" spans="1:16" s="49" customFormat="1" ht="67.5" customHeight="1">
      <c r="A68" s="33"/>
      <c r="B68" s="53"/>
      <c r="C68" s="59"/>
      <c r="D68" s="148" t="s">
        <v>199</v>
      </c>
      <c r="E68" s="135">
        <f t="shared" si="7"/>
        <v>498080</v>
      </c>
      <c r="F68" s="104">
        <f>100000+350230</f>
        <v>450230</v>
      </c>
      <c r="G68" s="104"/>
      <c r="H68" s="104"/>
      <c r="I68" s="104">
        <v>47850</v>
      </c>
      <c r="J68" s="108"/>
      <c r="K68" s="109"/>
      <c r="L68" s="104"/>
      <c r="M68" s="104"/>
      <c r="N68" s="104"/>
      <c r="O68" s="104"/>
      <c r="P68" s="103">
        <f t="shared" si="4"/>
        <v>498080</v>
      </c>
    </row>
    <row r="69" spans="1:16" s="49" customFormat="1" ht="171" customHeight="1">
      <c r="A69" s="33"/>
      <c r="B69" s="53"/>
      <c r="C69" s="59"/>
      <c r="D69" s="151" t="s">
        <v>221</v>
      </c>
      <c r="E69" s="135">
        <f t="shared" si="7"/>
        <v>1916069</v>
      </c>
      <c r="F69" s="104"/>
      <c r="G69" s="104"/>
      <c r="H69" s="104"/>
      <c r="I69" s="104">
        <f>116069+1800000</f>
        <v>1916069</v>
      </c>
      <c r="J69" s="108"/>
      <c r="K69" s="109"/>
      <c r="L69" s="104"/>
      <c r="M69" s="104"/>
      <c r="N69" s="104"/>
      <c r="O69" s="104"/>
      <c r="P69" s="103">
        <f t="shared" si="4"/>
        <v>1916069</v>
      </c>
    </row>
    <row r="70" spans="1:16" s="49" customFormat="1" ht="81" customHeight="1">
      <c r="A70" s="33"/>
      <c r="B70" s="53"/>
      <c r="C70" s="59"/>
      <c r="D70" s="152" t="s">
        <v>223</v>
      </c>
      <c r="E70" s="135">
        <f t="shared" si="7"/>
        <v>1000000</v>
      </c>
      <c r="F70" s="104"/>
      <c r="G70" s="104"/>
      <c r="H70" s="104"/>
      <c r="I70" s="104">
        <v>1000000</v>
      </c>
      <c r="J70" s="108"/>
      <c r="K70" s="109"/>
      <c r="L70" s="104"/>
      <c r="M70" s="104"/>
      <c r="N70" s="104"/>
      <c r="O70" s="104"/>
      <c r="P70" s="103"/>
    </row>
    <row r="71" spans="1:16" s="49" customFormat="1" ht="80.25" customHeight="1">
      <c r="A71" s="33"/>
      <c r="B71" s="53"/>
      <c r="C71" s="59"/>
      <c r="D71" s="151" t="s">
        <v>224</v>
      </c>
      <c r="E71" s="135">
        <f t="shared" si="7"/>
        <v>400000</v>
      </c>
      <c r="F71" s="104"/>
      <c r="G71" s="104"/>
      <c r="H71" s="104"/>
      <c r="I71" s="104">
        <v>400000</v>
      </c>
      <c r="J71" s="108"/>
      <c r="K71" s="109"/>
      <c r="L71" s="104"/>
      <c r="M71" s="104"/>
      <c r="N71" s="104"/>
      <c r="O71" s="104"/>
      <c r="P71" s="103"/>
    </row>
    <row r="72" spans="1:16" s="49" customFormat="1" ht="90" customHeight="1">
      <c r="A72" s="61" t="s">
        <v>216</v>
      </c>
      <c r="B72" s="53">
        <v>9810</v>
      </c>
      <c r="C72" s="59" t="s">
        <v>23</v>
      </c>
      <c r="D72" s="152" t="s">
        <v>217</v>
      </c>
      <c r="E72" s="135">
        <f t="shared" si="7"/>
        <v>78000</v>
      </c>
      <c r="F72" s="104">
        <f>F74+F75</f>
        <v>78000</v>
      </c>
      <c r="G72" s="104"/>
      <c r="H72" s="104"/>
      <c r="I72" s="104"/>
      <c r="J72" s="108"/>
      <c r="K72" s="109"/>
      <c r="L72" s="104"/>
      <c r="M72" s="104"/>
      <c r="N72" s="104"/>
      <c r="O72" s="104"/>
      <c r="P72" s="103">
        <f t="shared" si="4"/>
        <v>78000</v>
      </c>
    </row>
    <row r="73" spans="1:16" s="49" customFormat="1" ht="26.25" customHeight="1">
      <c r="A73" s="61"/>
      <c r="B73" s="53"/>
      <c r="C73" s="59"/>
      <c r="D73" s="152" t="s">
        <v>171</v>
      </c>
      <c r="E73" s="135"/>
      <c r="F73" s="104"/>
      <c r="G73" s="104"/>
      <c r="H73" s="104"/>
      <c r="I73" s="104"/>
      <c r="J73" s="108"/>
      <c r="K73" s="109"/>
      <c r="L73" s="104"/>
      <c r="M73" s="104"/>
      <c r="N73" s="104"/>
      <c r="O73" s="104"/>
      <c r="P73" s="103"/>
    </row>
    <row r="74" spans="1:16" s="49" customFormat="1" ht="37.5" customHeight="1">
      <c r="A74" s="33"/>
      <c r="B74" s="53"/>
      <c r="C74" s="59"/>
      <c r="D74" s="152" t="s">
        <v>218</v>
      </c>
      <c r="E74" s="135">
        <f>F74+I74</f>
        <v>60000</v>
      </c>
      <c r="F74" s="104">
        <v>60000</v>
      </c>
      <c r="G74" s="104"/>
      <c r="H74" s="104"/>
      <c r="I74" s="104"/>
      <c r="J74" s="108"/>
      <c r="K74" s="109"/>
      <c r="L74" s="104"/>
      <c r="M74" s="104"/>
      <c r="N74" s="104"/>
      <c r="O74" s="104"/>
      <c r="P74" s="103">
        <f t="shared" si="4"/>
        <v>60000</v>
      </c>
    </row>
    <row r="75" spans="1:16" s="49" customFormat="1" ht="38.25" customHeight="1">
      <c r="A75" s="33"/>
      <c r="B75" s="53"/>
      <c r="C75" s="59"/>
      <c r="D75" s="152" t="s">
        <v>219</v>
      </c>
      <c r="E75" s="135">
        <f>F75+I75</f>
        <v>18000</v>
      </c>
      <c r="F75" s="104">
        <v>18000</v>
      </c>
      <c r="G75" s="104"/>
      <c r="H75" s="104"/>
      <c r="I75" s="104"/>
      <c r="J75" s="108"/>
      <c r="K75" s="109"/>
      <c r="L75" s="104"/>
      <c r="M75" s="104"/>
      <c r="N75" s="104"/>
      <c r="O75" s="104"/>
      <c r="P75" s="103">
        <f t="shared" si="4"/>
        <v>18000</v>
      </c>
    </row>
    <row r="76" spans="1:16" s="49" customFormat="1" ht="12.75">
      <c r="A76" s="38"/>
      <c r="B76" s="39" t="s">
        <v>25</v>
      </c>
      <c r="C76" s="40"/>
      <c r="D76" s="35" t="s">
        <v>34</v>
      </c>
      <c r="E76" s="135">
        <f>F76+I76</f>
        <v>135029831.14</v>
      </c>
      <c r="F76" s="135">
        <f>F61+F58+F57+F56+F55+F54+F51+F50+F47+F44+F42+F41+F25+F24+F21+F20+F19+F18+F17+F65+F48+F46+F62+F72+F45+F43</f>
        <v>122674489.14</v>
      </c>
      <c r="G76" s="135">
        <f>G61+G58+G57+G56+G55+G54+G51+G50+G47+G44+G42+G41+G25+G24+G21+G20+G19+G18+G17+G65+G48+G46+G62+G72+G45+G43</f>
        <v>28000894</v>
      </c>
      <c r="H76" s="135">
        <f>H61+H58+H57+H56+H55+H54+H51+H50+H47+H44+H42+H41+H25+H24+H21+H20+H19+H18+H17+H65+H48+H46+H62+H72+H45+H43</f>
        <v>3732474</v>
      </c>
      <c r="I76" s="135">
        <f>I61+I58+I57+I56+I55+I54+I51+I50+I47+I44+I42+I41+I25+I24+I21+I20+I19+I18+I17+I65+I48+I46+I62+I72+I45+I43</f>
        <v>12355342</v>
      </c>
      <c r="J76" s="135">
        <f>L76+O76</f>
        <v>44575628.26</v>
      </c>
      <c r="K76" s="135">
        <f>K61+K58+K57+K56+K55+K54+K51+K50+K47+K44+K42+K41+K25+K24+K21+K20+K19+K18+K17+K65+K48+K46+K62+K72+K45+K43+K49</f>
        <v>43864858.26</v>
      </c>
      <c r="L76" s="135">
        <f>L61+L58+L57+L56+L55+L54+L51+L50+L47+L44+L42+L41+L25+L24+L21+L20+L19+L18+L17+L65+L48+L46+L62+L72+L45+L43+L49</f>
        <v>710770</v>
      </c>
      <c r="M76" s="135">
        <f>M61+M58+M57+M56+M55+M54+M51+M50+M47+M44+M42+M41+M25+M24+M21+M20+M19+M18+M17+M65+M48+M46+M62+M72+M45+M43+M49</f>
        <v>59400</v>
      </c>
      <c r="N76" s="135">
        <f>N61+N58+N57+N56+N55+N54+N51+N50+N47+N44+N42+N41+N25+N24+N21+N20+N19+N18+N17+N65+N48+N46+N62+N72+N45+N43+N49</f>
        <v>0</v>
      </c>
      <c r="O76" s="135">
        <f>O61+O58+O57+O56+O55+O54+O51+O50+O47+O44+O42+O41+O25+O24+O21+O20+O19+O18+O17+O65+O48+O46+O62+O72+O45+O43+O49</f>
        <v>43864858.26</v>
      </c>
      <c r="P76" s="135">
        <f>E76+J76</f>
        <v>179605459.39999998</v>
      </c>
    </row>
    <row r="77" spans="1:17" ht="39.75" customHeight="1">
      <c r="A77" s="14" t="s">
        <v>60</v>
      </c>
      <c r="B77" s="14"/>
      <c r="C77" s="15"/>
      <c r="D77" s="16" t="s">
        <v>32</v>
      </c>
      <c r="E77" s="110"/>
      <c r="F77" s="110"/>
      <c r="G77" s="110"/>
      <c r="H77" s="110"/>
      <c r="I77" s="110"/>
      <c r="J77" s="110"/>
      <c r="K77" s="111"/>
      <c r="L77" s="110"/>
      <c r="M77" s="110"/>
      <c r="N77" s="110"/>
      <c r="O77" s="110"/>
      <c r="P77" s="112"/>
      <c r="Q77" s="98">
        <f>F76+F105+F119+F124+E123</f>
        <v>272402407.14</v>
      </c>
    </row>
    <row r="78" spans="1:16" ht="38.25">
      <c r="A78" s="14" t="s">
        <v>61</v>
      </c>
      <c r="B78" s="14"/>
      <c r="C78" s="15"/>
      <c r="D78" s="16" t="s">
        <v>32</v>
      </c>
      <c r="E78" s="110"/>
      <c r="F78" s="110"/>
      <c r="G78" s="110"/>
      <c r="H78" s="110"/>
      <c r="I78" s="110"/>
      <c r="J78" s="110"/>
      <c r="K78" s="111"/>
      <c r="L78" s="110"/>
      <c r="M78" s="110"/>
      <c r="N78" s="110"/>
      <c r="O78" s="110"/>
      <c r="P78" s="112"/>
    </row>
    <row r="79" spans="1:16" s="49" customFormat="1" ht="53.25" customHeight="1">
      <c r="A79" s="14" t="s">
        <v>62</v>
      </c>
      <c r="B79" s="24" t="s">
        <v>42</v>
      </c>
      <c r="C79" s="15" t="s">
        <v>12</v>
      </c>
      <c r="D79" s="47" t="s">
        <v>132</v>
      </c>
      <c r="E79" s="113">
        <f aca="true" t="shared" si="8" ref="E79:E86">F79+I79</f>
        <v>1163575</v>
      </c>
      <c r="F79" s="113">
        <f>1156575+7000</f>
        <v>1163575</v>
      </c>
      <c r="G79" s="113">
        <v>946062</v>
      </c>
      <c r="H79" s="113">
        <v>0</v>
      </c>
      <c r="I79" s="113"/>
      <c r="J79" s="113">
        <f aca="true" t="shared" si="9" ref="J79:J86">L79+O79</f>
        <v>0</v>
      </c>
      <c r="K79" s="114"/>
      <c r="L79" s="113"/>
      <c r="M79" s="113"/>
      <c r="N79" s="113"/>
      <c r="O79" s="113"/>
      <c r="P79" s="113">
        <f aca="true" t="shared" si="10" ref="P79:P100">J79+E79</f>
        <v>1163575</v>
      </c>
    </row>
    <row r="80" spans="1:16" s="49" customFormat="1" ht="19.5" customHeight="1">
      <c r="A80" s="14" t="s">
        <v>63</v>
      </c>
      <c r="B80" s="24"/>
      <c r="C80" s="17"/>
      <c r="D80" s="18" t="s">
        <v>28</v>
      </c>
      <c r="E80" s="113">
        <f t="shared" si="8"/>
        <v>124754055</v>
      </c>
      <c r="F80" s="113">
        <f>F81+F82+F85+F86+F88+F90+F92+F93+F97+F98</f>
        <v>124754055</v>
      </c>
      <c r="G80" s="113">
        <f>G81+G82+G85+G86+G88+G90+G92+G93</f>
        <v>85407973</v>
      </c>
      <c r="H80" s="113">
        <f>H81+H82+H85+H86+H88+H90+H92+H93</f>
        <v>12631399</v>
      </c>
      <c r="I80" s="113">
        <f>I81+I86+I87+I88+I90+I82+I92+I85+I93+I91</f>
        <v>0</v>
      </c>
      <c r="J80" s="113">
        <f t="shared" si="9"/>
        <v>2639897</v>
      </c>
      <c r="K80" s="113">
        <f>K81+K86+K87+K88+K90+K82+K92</f>
        <v>2186158</v>
      </c>
      <c r="L80" s="113">
        <f>L81+L86+L87+L88+L90+L82+L92+L97+L98</f>
        <v>453739</v>
      </c>
      <c r="M80" s="113">
        <f>M81+M86+M87+M88+M90+M82+M92</f>
        <v>0</v>
      </c>
      <c r="N80" s="113">
        <f>N81+N86+N87+N88+N90+N82+N92</f>
        <v>0</v>
      </c>
      <c r="O80" s="113">
        <f>O81+O86+O87+O88+O90+O82+O92</f>
        <v>2186158</v>
      </c>
      <c r="P80" s="113">
        <f>J80+E80</f>
        <v>127393952</v>
      </c>
    </row>
    <row r="81" spans="1:16" s="49" customFormat="1" ht="24.75" customHeight="1">
      <c r="A81" s="14" t="s">
        <v>64</v>
      </c>
      <c r="B81" s="24" t="s">
        <v>14</v>
      </c>
      <c r="C81" s="17" t="s">
        <v>13</v>
      </c>
      <c r="D81" s="19" t="s">
        <v>65</v>
      </c>
      <c r="E81" s="113">
        <f t="shared" si="8"/>
        <v>25533798</v>
      </c>
      <c r="F81" s="113">
        <f>29064530-500000+520268-2782000-769000</f>
        <v>25533798</v>
      </c>
      <c r="G81" s="113">
        <f>20101128-500000-3009074</f>
        <v>16592054</v>
      </c>
      <c r="H81" s="113">
        <v>2704962</v>
      </c>
      <c r="I81" s="113"/>
      <c r="J81" s="113">
        <f t="shared" si="9"/>
        <v>495392</v>
      </c>
      <c r="K81" s="114">
        <v>495392</v>
      </c>
      <c r="L81" s="113">
        <f>1001424-1001424</f>
        <v>0</v>
      </c>
      <c r="M81" s="110"/>
      <c r="N81" s="110"/>
      <c r="O81" s="113">
        <v>495392</v>
      </c>
      <c r="P81" s="113">
        <f>J81+E81</f>
        <v>26029190</v>
      </c>
    </row>
    <row r="82" spans="1:16" s="49" customFormat="1" ht="42.75" customHeight="1">
      <c r="A82" s="14" t="s">
        <v>133</v>
      </c>
      <c r="B82" s="24" t="s">
        <v>134</v>
      </c>
      <c r="C82" s="17" t="s">
        <v>39</v>
      </c>
      <c r="D82" s="19" t="s">
        <v>170</v>
      </c>
      <c r="E82" s="113">
        <f t="shared" si="8"/>
        <v>31396542</v>
      </c>
      <c r="F82" s="113">
        <f>29771465+1687240+50000-44500-74760-55180-297260-49840+1000000+350000-100625-431000-408998</f>
        <v>31396542</v>
      </c>
      <c r="G82" s="113">
        <f>15472641+325200-52070-718654</f>
        <v>15027117</v>
      </c>
      <c r="H82" s="113">
        <f>8857101+990440-423236</f>
        <v>9424305</v>
      </c>
      <c r="I82" s="113"/>
      <c r="J82" s="113">
        <f t="shared" si="9"/>
        <v>1690766</v>
      </c>
      <c r="K82" s="114">
        <f>74760+1690766-74760</f>
        <v>1690766</v>
      </c>
      <c r="L82" s="113">
        <f>1116895-1116895</f>
        <v>0</v>
      </c>
      <c r="M82" s="113"/>
      <c r="N82" s="113"/>
      <c r="O82" s="113">
        <f>74760+1690766-74760</f>
        <v>1690766</v>
      </c>
      <c r="P82" s="113">
        <f>J82+E82</f>
        <v>33087308</v>
      </c>
    </row>
    <row r="83" spans="1:16" s="49" customFormat="1" ht="18" customHeight="1">
      <c r="A83" s="14"/>
      <c r="B83" s="24"/>
      <c r="C83" s="17"/>
      <c r="D83" s="19" t="s">
        <v>171</v>
      </c>
      <c r="E83" s="113"/>
      <c r="F83" s="113"/>
      <c r="G83" s="113"/>
      <c r="H83" s="113"/>
      <c r="I83" s="113"/>
      <c r="J83" s="113"/>
      <c r="K83" s="114" t="s">
        <v>220</v>
      </c>
      <c r="L83" s="113"/>
      <c r="M83" s="113"/>
      <c r="N83" s="113"/>
      <c r="O83" s="113"/>
      <c r="P83" s="113"/>
    </row>
    <row r="84" spans="1:16" s="49" customFormat="1" ht="99" customHeight="1">
      <c r="A84" s="14"/>
      <c r="B84" s="24"/>
      <c r="C84" s="17"/>
      <c r="D84" s="19" t="s">
        <v>172</v>
      </c>
      <c r="E84" s="113">
        <f t="shared" si="8"/>
        <v>1687240</v>
      </c>
      <c r="F84" s="113">
        <v>1687240</v>
      </c>
      <c r="G84" s="113">
        <v>325200</v>
      </c>
      <c r="H84" s="113">
        <f>990440+200000</f>
        <v>1190440</v>
      </c>
      <c r="I84" s="113"/>
      <c r="J84" s="113"/>
      <c r="K84" s="114"/>
      <c r="L84" s="113"/>
      <c r="M84" s="113"/>
      <c r="N84" s="113"/>
      <c r="O84" s="113"/>
      <c r="P84" s="113">
        <f t="shared" si="10"/>
        <v>1687240</v>
      </c>
    </row>
    <row r="85" spans="1:16" s="49" customFormat="1" ht="46.5" customHeight="1">
      <c r="A85" s="14" t="s">
        <v>165</v>
      </c>
      <c r="B85" s="24" t="s">
        <v>166</v>
      </c>
      <c r="C85" s="17" t="s">
        <v>39</v>
      </c>
      <c r="D85" s="19" t="s">
        <v>164</v>
      </c>
      <c r="E85" s="113">
        <f t="shared" si="8"/>
        <v>57261900</v>
      </c>
      <c r="F85" s="113">
        <v>57261900</v>
      </c>
      <c r="G85" s="113">
        <v>46935984</v>
      </c>
      <c r="H85" s="113"/>
      <c r="I85" s="113"/>
      <c r="J85" s="113"/>
      <c r="K85" s="114"/>
      <c r="L85" s="113"/>
      <c r="M85" s="113"/>
      <c r="N85" s="113"/>
      <c r="O85" s="113"/>
      <c r="P85" s="113">
        <f>J85+E85</f>
        <v>57261900</v>
      </c>
    </row>
    <row r="86" spans="1:16" s="49" customFormat="1" ht="50.25" customHeight="1">
      <c r="A86" s="14" t="s">
        <v>135</v>
      </c>
      <c r="B86" s="24" t="s">
        <v>97</v>
      </c>
      <c r="C86" s="17" t="s">
        <v>40</v>
      </c>
      <c r="D86" s="19" t="s">
        <v>89</v>
      </c>
      <c r="E86" s="115">
        <f t="shared" si="8"/>
        <v>3844131</v>
      </c>
      <c r="F86" s="115">
        <f>3735981+50000+36160+21990</f>
        <v>3844131</v>
      </c>
      <c r="G86" s="115">
        <f>2673752-105200-20000-249668</f>
        <v>2298884</v>
      </c>
      <c r="H86" s="115">
        <f>382780+50000</f>
        <v>432780</v>
      </c>
      <c r="I86" s="115"/>
      <c r="J86" s="113">
        <f t="shared" si="9"/>
        <v>0</v>
      </c>
      <c r="K86" s="114"/>
      <c r="L86" s="113"/>
      <c r="M86" s="113"/>
      <c r="N86" s="113"/>
      <c r="O86" s="113"/>
      <c r="P86" s="113">
        <f t="shared" si="10"/>
        <v>3844131</v>
      </c>
    </row>
    <row r="87" spans="1:16" s="49" customFormat="1" ht="6.75" customHeight="1">
      <c r="A87" s="14"/>
      <c r="B87" s="24"/>
      <c r="C87" s="17"/>
      <c r="D87" s="19"/>
      <c r="E87" s="113"/>
      <c r="F87" s="113"/>
      <c r="G87" s="113"/>
      <c r="H87" s="113"/>
      <c r="I87" s="113"/>
      <c r="J87" s="113"/>
      <c r="K87" s="113"/>
      <c r="L87" s="113"/>
      <c r="M87" s="113"/>
      <c r="N87" s="113"/>
      <c r="O87" s="113"/>
      <c r="P87" s="113"/>
    </row>
    <row r="88" spans="1:16" s="49" customFormat="1" ht="34.5" customHeight="1">
      <c r="A88" s="14" t="s">
        <v>136</v>
      </c>
      <c r="B88" s="24" t="s">
        <v>137</v>
      </c>
      <c r="C88" s="17" t="s">
        <v>15</v>
      </c>
      <c r="D88" s="19" t="s">
        <v>75</v>
      </c>
      <c r="E88" s="113">
        <f>F88+I88</f>
        <v>4268618</v>
      </c>
      <c r="F88" s="113">
        <f>4361778-57000-36160</f>
        <v>4268618</v>
      </c>
      <c r="G88" s="113">
        <f>3377384-8000-30000-32000</f>
        <v>3307384</v>
      </c>
      <c r="H88" s="113">
        <f>110294-50000-20000</f>
        <v>40294</v>
      </c>
      <c r="I88" s="113"/>
      <c r="J88" s="113">
        <f>L88+O88</f>
        <v>0</v>
      </c>
      <c r="K88" s="114"/>
      <c r="L88" s="113"/>
      <c r="M88" s="113"/>
      <c r="N88" s="113"/>
      <c r="O88" s="113"/>
      <c r="P88" s="113">
        <f t="shared" si="10"/>
        <v>4268618</v>
      </c>
    </row>
    <row r="89" spans="1:16" s="49" customFormat="1" ht="12.75">
      <c r="A89" s="14"/>
      <c r="B89" s="24"/>
      <c r="C89" s="17"/>
      <c r="D89" s="19"/>
      <c r="E89" s="113"/>
      <c r="F89" s="113"/>
      <c r="G89" s="113"/>
      <c r="H89" s="113"/>
      <c r="I89" s="113"/>
      <c r="J89" s="113"/>
      <c r="K89" s="114"/>
      <c r="L89" s="113"/>
      <c r="M89" s="113"/>
      <c r="N89" s="113"/>
      <c r="O89" s="113"/>
      <c r="P89" s="113"/>
    </row>
    <row r="90" spans="1:16" s="49" customFormat="1" ht="21.75" customHeight="1">
      <c r="A90" s="14" t="s">
        <v>138</v>
      </c>
      <c r="B90" s="24" t="s">
        <v>139</v>
      </c>
      <c r="C90" s="17" t="s">
        <v>15</v>
      </c>
      <c r="D90" s="19" t="s">
        <v>76</v>
      </c>
      <c r="E90" s="113">
        <f aca="true" t="shared" si="11" ref="E90:E100">F90+I90</f>
        <v>754399</v>
      </c>
      <c r="F90" s="113">
        <f>1304814-500000-50415</f>
        <v>754399</v>
      </c>
      <c r="G90" s="113"/>
      <c r="H90" s="113"/>
      <c r="I90" s="113"/>
      <c r="J90" s="113"/>
      <c r="K90" s="114"/>
      <c r="L90" s="113"/>
      <c r="M90" s="113"/>
      <c r="N90" s="113"/>
      <c r="O90" s="113"/>
      <c r="P90" s="113">
        <f t="shared" si="10"/>
        <v>754399</v>
      </c>
    </row>
    <row r="91" spans="1:16" s="49" customFormat="1" ht="61.5" customHeight="1">
      <c r="A91" s="14" t="s">
        <v>182</v>
      </c>
      <c r="B91" s="24" t="s">
        <v>183</v>
      </c>
      <c r="C91" s="17" t="s">
        <v>15</v>
      </c>
      <c r="D91" s="19" t="s">
        <v>184</v>
      </c>
      <c r="E91" s="113">
        <f t="shared" si="11"/>
        <v>211572</v>
      </c>
      <c r="F91" s="113">
        <v>211572</v>
      </c>
      <c r="G91" s="113">
        <v>128460</v>
      </c>
      <c r="H91" s="113"/>
      <c r="I91" s="113"/>
      <c r="J91" s="113"/>
      <c r="K91" s="114"/>
      <c r="L91" s="113"/>
      <c r="M91" s="113"/>
      <c r="N91" s="113"/>
      <c r="O91" s="113"/>
      <c r="P91" s="113">
        <f t="shared" si="10"/>
        <v>211572</v>
      </c>
    </row>
    <row r="92" spans="1:16" s="49" customFormat="1" ht="50.25" customHeight="1">
      <c r="A92" s="14" t="s">
        <v>140</v>
      </c>
      <c r="B92" s="24" t="s">
        <v>141</v>
      </c>
      <c r="C92" s="17" t="s">
        <v>15</v>
      </c>
      <c r="D92" s="19" t="s">
        <v>142</v>
      </c>
      <c r="E92" s="113">
        <f t="shared" si="11"/>
        <v>284274</v>
      </c>
      <c r="F92" s="113">
        <f>342016+7000-64742</f>
        <v>284274</v>
      </c>
      <c r="G92" s="113">
        <f>171414+2500-42100</f>
        <v>131814</v>
      </c>
      <c r="H92" s="113">
        <f>84135-55077</f>
        <v>29058</v>
      </c>
      <c r="I92" s="113"/>
      <c r="J92" s="113"/>
      <c r="K92" s="114"/>
      <c r="L92" s="113"/>
      <c r="M92" s="113"/>
      <c r="N92" s="113"/>
      <c r="O92" s="113"/>
      <c r="P92" s="113">
        <f t="shared" si="10"/>
        <v>284274</v>
      </c>
    </row>
    <row r="93" spans="1:16" s="49" customFormat="1" ht="50.25" customHeight="1">
      <c r="A93" s="14" t="s">
        <v>167</v>
      </c>
      <c r="B93" s="24" t="s">
        <v>168</v>
      </c>
      <c r="C93" s="17" t="s">
        <v>15</v>
      </c>
      <c r="D93" s="19" t="s">
        <v>169</v>
      </c>
      <c r="E93" s="113">
        <f t="shared" si="11"/>
        <v>1359978</v>
      </c>
      <c r="F93" s="113">
        <v>1359978</v>
      </c>
      <c r="G93" s="113">
        <v>1114736</v>
      </c>
      <c r="H93" s="113"/>
      <c r="I93" s="113"/>
      <c r="J93" s="113"/>
      <c r="K93" s="114"/>
      <c r="L93" s="113"/>
      <c r="M93" s="113"/>
      <c r="N93" s="113"/>
      <c r="O93" s="113"/>
      <c r="P93" s="113">
        <f t="shared" si="10"/>
        <v>1359978</v>
      </c>
    </row>
    <row r="94" spans="1:16" s="49" customFormat="1" ht="81" customHeight="1">
      <c r="A94" s="14" t="s">
        <v>203</v>
      </c>
      <c r="B94" s="24" t="s">
        <v>204</v>
      </c>
      <c r="C94" s="17" t="s">
        <v>15</v>
      </c>
      <c r="D94" s="19" t="s">
        <v>205</v>
      </c>
      <c r="E94" s="113"/>
      <c r="F94" s="113"/>
      <c r="G94" s="113"/>
      <c r="H94" s="113"/>
      <c r="I94" s="113"/>
      <c r="J94" s="113">
        <f>L94+O94</f>
        <v>5058998</v>
      </c>
      <c r="K94" s="114">
        <f>4650000+408998</f>
        <v>5058998</v>
      </c>
      <c r="L94" s="113"/>
      <c r="M94" s="113"/>
      <c r="N94" s="113"/>
      <c r="O94" s="113">
        <f>4650000+408998</f>
        <v>5058998</v>
      </c>
      <c r="P94" s="113">
        <f t="shared" si="10"/>
        <v>5058998</v>
      </c>
    </row>
    <row r="95" spans="1:16" s="49" customFormat="1" ht="58.5" customHeight="1">
      <c r="A95" s="14" t="s">
        <v>206</v>
      </c>
      <c r="B95" s="24" t="s">
        <v>207</v>
      </c>
      <c r="C95" s="17" t="s">
        <v>15</v>
      </c>
      <c r="D95" s="19" t="s">
        <v>208</v>
      </c>
      <c r="E95" s="113"/>
      <c r="F95" s="113"/>
      <c r="G95" s="113"/>
      <c r="H95" s="113"/>
      <c r="I95" s="113"/>
      <c r="J95" s="113">
        <f>L95+O95</f>
        <v>9720000</v>
      </c>
      <c r="K95" s="114">
        <f>4650000+5070000</f>
        <v>9720000</v>
      </c>
      <c r="L95" s="113"/>
      <c r="M95" s="113"/>
      <c r="N95" s="113"/>
      <c r="O95" s="113">
        <f>4650000+5070000</f>
        <v>9720000</v>
      </c>
      <c r="P95" s="113">
        <f t="shared" si="10"/>
        <v>9720000</v>
      </c>
    </row>
    <row r="96" spans="1:16" s="49" customFormat="1" ht="33" customHeight="1">
      <c r="A96" s="14"/>
      <c r="B96" s="24"/>
      <c r="C96" s="17"/>
      <c r="D96" s="19" t="s">
        <v>209</v>
      </c>
      <c r="E96" s="113"/>
      <c r="F96" s="113"/>
      <c r="G96" s="113"/>
      <c r="H96" s="113"/>
      <c r="I96" s="113"/>
      <c r="J96" s="113">
        <f>L96+O96</f>
        <v>9720000</v>
      </c>
      <c r="K96" s="114">
        <f>4650000+5070000</f>
        <v>9720000</v>
      </c>
      <c r="L96" s="113"/>
      <c r="M96" s="113"/>
      <c r="N96" s="113"/>
      <c r="O96" s="113">
        <f>4650000+5070000</f>
        <v>9720000</v>
      </c>
      <c r="P96" s="113">
        <f t="shared" si="10"/>
        <v>9720000</v>
      </c>
    </row>
    <row r="97" spans="1:16" s="49" customFormat="1" ht="76.5" customHeight="1">
      <c r="A97" s="14" t="s">
        <v>226</v>
      </c>
      <c r="B97" s="27">
        <v>1271</v>
      </c>
      <c r="C97" s="17" t="s">
        <v>15</v>
      </c>
      <c r="D97" s="29" t="s">
        <v>227</v>
      </c>
      <c r="E97" s="113">
        <f>F97+I97</f>
        <v>50415</v>
      </c>
      <c r="F97" s="113">
        <v>50415</v>
      </c>
      <c r="G97" s="113"/>
      <c r="H97" s="113"/>
      <c r="I97" s="113"/>
      <c r="J97" s="113">
        <f>L97+O97</f>
        <v>0</v>
      </c>
      <c r="K97" s="114"/>
      <c r="L97" s="113"/>
      <c r="M97" s="113"/>
      <c r="N97" s="113"/>
      <c r="O97" s="113"/>
      <c r="P97" s="113">
        <f t="shared" si="10"/>
        <v>50415</v>
      </c>
    </row>
    <row r="98" spans="1:16" s="49" customFormat="1" ht="60.75" customHeight="1">
      <c r="A98" s="14" t="s">
        <v>228</v>
      </c>
      <c r="B98" s="27">
        <v>1272</v>
      </c>
      <c r="C98" s="17" t="s">
        <v>15</v>
      </c>
      <c r="D98" s="29" t="s">
        <v>229</v>
      </c>
      <c r="E98" s="113"/>
      <c r="F98" s="113"/>
      <c r="G98" s="113"/>
      <c r="H98" s="113"/>
      <c r="I98" s="113"/>
      <c r="J98" s="113">
        <f>L98+O98</f>
        <v>453739</v>
      </c>
      <c r="K98" s="114"/>
      <c r="L98" s="113">
        <v>453739</v>
      </c>
      <c r="M98" s="113"/>
      <c r="N98" s="113"/>
      <c r="O98" s="113"/>
      <c r="P98" s="113">
        <f t="shared" si="10"/>
        <v>453739</v>
      </c>
    </row>
    <row r="99" spans="1:18" s="49" customFormat="1" ht="40.5" customHeight="1">
      <c r="A99" s="14" t="s">
        <v>147</v>
      </c>
      <c r="B99" s="24" t="s">
        <v>148</v>
      </c>
      <c r="C99" s="17" t="s">
        <v>143</v>
      </c>
      <c r="D99" s="19" t="s">
        <v>149</v>
      </c>
      <c r="E99" s="113">
        <f t="shared" si="11"/>
        <v>5000</v>
      </c>
      <c r="F99" s="113">
        <v>5000</v>
      </c>
      <c r="G99" s="113"/>
      <c r="H99" s="113"/>
      <c r="I99" s="113"/>
      <c r="J99" s="113"/>
      <c r="K99" s="114"/>
      <c r="L99" s="113"/>
      <c r="M99" s="113"/>
      <c r="N99" s="113"/>
      <c r="O99" s="113"/>
      <c r="P99" s="113">
        <f t="shared" si="10"/>
        <v>5000</v>
      </c>
      <c r="Q99" s="91"/>
      <c r="R99" s="91"/>
    </row>
    <row r="100" spans="1:16" s="49" customFormat="1" ht="54" customHeight="1">
      <c r="A100" s="41" t="s">
        <v>66</v>
      </c>
      <c r="B100" s="27">
        <v>5031</v>
      </c>
      <c r="C100" s="28" t="s">
        <v>20</v>
      </c>
      <c r="D100" s="29" t="s">
        <v>41</v>
      </c>
      <c r="E100" s="115">
        <f t="shared" si="11"/>
        <v>3345239</v>
      </c>
      <c r="F100" s="115">
        <f>3216504+10000-61000+179735</f>
        <v>3345239</v>
      </c>
      <c r="G100" s="115">
        <f>2501831-75300-170000-60400</f>
        <v>2196131</v>
      </c>
      <c r="H100" s="115">
        <f>139715+40000</f>
        <v>179715</v>
      </c>
      <c r="I100" s="113"/>
      <c r="J100" s="113">
        <f>L100+O100</f>
        <v>61000</v>
      </c>
      <c r="K100" s="114">
        <f>61000+2800000-2800000</f>
        <v>61000</v>
      </c>
      <c r="L100" s="113"/>
      <c r="M100" s="113"/>
      <c r="N100" s="113"/>
      <c r="O100" s="113">
        <f>61000+2800000-2800000</f>
        <v>61000</v>
      </c>
      <c r="P100" s="113">
        <f t="shared" si="10"/>
        <v>3406239</v>
      </c>
    </row>
    <row r="101" spans="1:16" s="49" customFormat="1" ht="9.75" customHeight="1">
      <c r="A101" s="41"/>
      <c r="B101" s="27"/>
      <c r="C101" s="48"/>
      <c r="D101" s="29"/>
      <c r="E101" s="113"/>
      <c r="F101" s="113"/>
      <c r="G101" s="113"/>
      <c r="H101" s="113"/>
      <c r="I101" s="113"/>
      <c r="J101" s="113"/>
      <c r="K101" s="114"/>
      <c r="L101" s="113"/>
      <c r="M101" s="113"/>
      <c r="N101" s="113"/>
      <c r="O101" s="113"/>
      <c r="P101" s="113"/>
    </row>
    <row r="102" spans="1:21" s="49" customFormat="1" ht="72" customHeight="1">
      <c r="A102" s="41" t="s">
        <v>67</v>
      </c>
      <c r="B102" s="27">
        <v>5061</v>
      </c>
      <c r="C102" s="28" t="s">
        <v>20</v>
      </c>
      <c r="D102" s="29" t="s">
        <v>26</v>
      </c>
      <c r="E102" s="113">
        <f>F102+I102</f>
        <v>120000</v>
      </c>
      <c r="F102" s="113">
        <f>70000+50000</f>
        <v>120000</v>
      </c>
      <c r="G102" s="113"/>
      <c r="H102" s="113"/>
      <c r="I102" s="113"/>
      <c r="J102" s="113">
        <f>L102+O102</f>
        <v>0</v>
      </c>
      <c r="K102" s="114"/>
      <c r="L102" s="113"/>
      <c r="M102" s="113"/>
      <c r="N102" s="113"/>
      <c r="O102" s="113"/>
      <c r="P102" s="113">
        <f>J102+E102</f>
        <v>120000</v>
      </c>
      <c r="R102" s="92" t="s">
        <v>144</v>
      </c>
      <c r="S102" s="92" t="s">
        <v>145</v>
      </c>
      <c r="T102" s="93" t="s">
        <v>130</v>
      </c>
      <c r="U102" s="94" t="s">
        <v>146</v>
      </c>
    </row>
    <row r="103" spans="1:21" s="49" customFormat="1" ht="35.25" customHeight="1">
      <c r="A103" s="14" t="s">
        <v>144</v>
      </c>
      <c r="B103" s="24" t="s">
        <v>145</v>
      </c>
      <c r="C103" s="17" t="s">
        <v>130</v>
      </c>
      <c r="D103" s="19" t="s">
        <v>201</v>
      </c>
      <c r="E103" s="113"/>
      <c r="F103" s="113"/>
      <c r="G103" s="113"/>
      <c r="H103" s="113"/>
      <c r="I103" s="113"/>
      <c r="J103" s="113">
        <f>L103+O103</f>
        <v>4055180</v>
      </c>
      <c r="K103" s="114">
        <f>44500+55180+297260+49840+152740-450000-94340+4000000</f>
        <v>4055180</v>
      </c>
      <c r="L103" s="113"/>
      <c r="M103" s="113"/>
      <c r="N103" s="113"/>
      <c r="O103" s="113">
        <f>K103</f>
        <v>4055180</v>
      </c>
      <c r="P103" s="113">
        <f>J103+E103</f>
        <v>4055180</v>
      </c>
      <c r="R103" s="100"/>
      <c r="S103" s="100"/>
      <c r="T103" s="101"/>
      <c r="U103" s="102"/>
    </row>
    <row r="104" spans="1:21" s="49" customFormat="1" ht="72" customHeight="1">
      <c r="A104" s="33" t="s">
        <v>185</v>
      </c>
      <c r="B104" s="27">
        <v>7363</v>
      </c>
      <c r="C104" s="28" t="s">
        <v>160</v>
      </c>
      <c r="D104" s="29" t="s">
        <v>176</v>
      </c>
      <c r="E104" s="113"/>
      <c r="F104" s="113"/>
      <c r="G104" s="113"/>
      <c r="H104" s="113"/>
      <c r="I104" s="113"/>
      <c r="J104" s="113">
        <f>L104+O104</f>
        <v>4100</v>
      </c>
      <c r="K104" s="114">
        <v>4100</v>
      </c>
      <c r="L104" s="113"/>
      <c r="M104" s="113"/>
      <c r="N104" s="113"/>
      <c r="O104" s="113">
        <v>4100</v>
      </c>
      <c r="P104" s="113">
        <f>J104+E104</f>
        <v>4100</v>
      </c>
      <c r="R104" s="100"/>
      <c r="S104" s="100"/>
      <c r="T104" s="101"/>
      <c r="U104" s="102"/>
    </row>
    <row r="105" spans="1:16" s="49" customFormat="1" ht="12.75">
      <c r="A105" s="20"/>
      <c r="B105" s="20"/>
      <c r="C105" s="21"/>
      <c r="D105" s="60" t="s">
        <v>34</v>
      </c>
      <c r="E105" s="116">
        <f>F105+I105</f>
        <v>129599441</v>
      </c>
      <c r="F105" s="116">
        <f>F102+F100+F99+F80+F79+F103+F104+F91</f>
        <v>129599441</v>
      </c>
      <c r="G105" s="116">
        <f>G102+G100+G99+G80+G79+G103+G104+G91</f>
        <v>88678626</v>
      </c>
      <c r="H105" s="116">
        <f>H80+H79+H100+H102+H99+L122+H94+H95</f>
        <v>12811114</v>
      </c>
      <c r="I105" s="116">
        <f>I80+I79+I100+I102+I99+M122+I94+I95</f>
        <v>0</v>
      </c>
      <c r="J105" s="116">
        <f>L105+O105</f>
        <v>21539175</v>
      </c>
      <c r="K105" s="116">
        <f>K80+K79+K100+K102+K104+K103+K94+K95</f>
        <v>21085436</v>
      </c>
      <c r="L105" s="116">
        <f>L80+L79+L100+L102+L104</f>
        <v>453739</v>
      </c>
      <c r="M105" s="116">
        <f>M80+M79+M100+M102+M104</f>
        <v>0</v>
      </c>
      <c r="N105" s="116">
        <f>N80+N79+N100+N102+N104</f>
        <v>0</v>
      </c>
      <c r="O105" s="116">
        <f>O80+O79+O100+O102+O104+O103+O94+O95</f>
        <v>21085436</v>
      </c>
      <c r="P105" s="113">
        <f>J105+E105</f>
        <v>151138616</v>
      </c>
    </row>
    <row r="106" spans="1:16" ht="55.5" customHeight="1">
      <c r="A106" s="31" t="s">
        <v>31</v>
      </c>
      <c r="B106" s="24"/>
      <c r="C106" s="22"/>
      <c r="D106" s="16" t="s">
        <v>36</v>
      </c>
      <c r="E106" s="117"/>
      <c r="F106" s="117"/>
      <c r="G106" s="117"/>
      <c r="H106" s="117"/>
      <c r="I106" s="117"/>
      <c r="J106" s="117"/>
      <c r="K106" s="118"/>
      <c r="L106" s="117"/>
      <c r="M106" s="117"/>
      <c r="N106" s="117"/>
      <c r="O106" s="117"/>
      <c r="P106" s="117"/>
    </row>
    <row r="107" spans="1:16" ht="50.25" customHeight="1">
      <c r="A107" s="31" t="s">
        <v>33</v>
      </c>
      <c r="B107" s="24"/>
      <c r="C107" s="15"/>
      <c r="D107" s="16" t="s">
        <v>36</v>
      </c>
      <c r="E107" s="117"/>
      <c r="F107" s="119"/>
      <c r="G107" s="110"/>
      <c r="H107" s="110"/>
      <c r="I107" s="110"/>
      <c r="J107" s="110"/>
      <c r="K107" s="111"/>
      <c r="L107" s="110"/>
      <c r="M107" s="110"/>
      <c r="N107" s="110"/>
      <c r="O107" s="110"/>
      <c r="P107" s="110"/>
    </row>
    <row r="108" spans="1:16" s="49" customFormat="1" ht="55.5" customHeight="1">
      <c r="A108" s="56" t="s">
        <v>68</v>
      </c>
      <c r="B108" s="57" t="s">
        <v>42</v>
      </c>
      <c r="C108" s="58" t="s">
        <v>12</v>
      </c>
      <c r="D108" s="47" t="s">
        <v>131</v>
      </c>
      <c r="E108" s="113">
        <f aca="true" t="shared" si="12" ref="E108:E115">F108+I108</f>
        <v>2012355</v>
      </c>
      <c r="F108" s="113">
        <v>2012355</v>
      </c>
      <c r="G108" s="113">
        <v>1591755</v>
      </c>
      <c r="H108" s="113">
        <v>50059</v>
      </c>
      <c r="I108" s="113"/>
      <c r="J108" s="113">
        <f>L108+O108</f>
        <v>25000</v>
      </c>
      <c r="K108" s="114">
        <v>25000</v>
      </c>
      <c r="L108" s="113"/>
      <c r="M108" s="113"/>
      <c r="N108" s="113"/>
      <c r="O108" s="113">
        <v>25000</v>
      </c>
      <c r="P108" s="113">
        <f aca="true" t="shared" si="13" ref="P108:P118">J108+E108</f>
        <v>2037355</v>
      </c>
    </row>
    <row r="109" spans="1:16" s="49" customFormat="1" ht="12.75">
      <c r="A109" s="56" t="s">
        <v>115</v>
      </c>
      <c r="B109" s="57" t="s">
        <v>116</v>
      </c>
      <c r="C109" s="58" t="s">
        <v>43</v>
      </c>
      <c r="D109" s="26" t="s">
        <v>117</v>
      </c>
      <c r="E109" s="113">
        <f t="shared" si="12"/>
        <v>2478706</v>
      </c>
      <c r="F109" s="113">
        <f>2447056+19850+12979-1179</f>
        <v>2478706</v>
      </c>
      <c r="G109" s="113">
        <v>1729301</v>
      </c>
      <c r="H109" s="113">
        <f>229565-10000</f>
        <v>219565</v>
      </c>
      <c r="I109" s="113"/>
      <c r="J109" s="113">
        <f>L109+O109</f>
        <v>79800</v>
      </c>
      <c r="K109" s="113">
        <f>26800+131370-78370</f>
        <v>79800</v>
      </c>
      <c r="L109" s="113"/>
      <c r="M109" s="113"/>
      <c r="N109" s="113"/>
      <c r="O109" s="113">
        <f>26800+131370-78370</f>
        <v>79800</v>
      </c>
      <c r="P109" s="113">
        <f t="shared" si="13"/>
        <v>2558506</v>
      </c>
    </row>
    <row r="110" spans="1:16" s="49" customFormat="1" ht="21" customHeight="1">
      <c r="A110" s="41">
        <v>1014040</v>
      </c>
      <c r="B110" s="27">
        <v>4040</v>
      </c>
      <c r="C110" s="17" t="s">
        <v>43</v>
      </c>
      <c r="D110" s="29" t="s">
        <v>69</v>
      </c>
      <c r="E110" s="113">
        <f t="shared" si="12"/>
        <v>1003273</v>
      </c>
      <c r="F110" s="113">
        <f>692021+5395+18037+87093+200727</f>
        <v>1003273</v>
      </c>
      <c r="G110" s="113">
        <f>446582-58531-41000</f>
        <v>347051</v>
      </c>
      <c r="H110" s="113">
        <f>128466+5395</f>
        <v>133861</v>
      </c>
      <c r="I110" s="113"/>
      <c r="J110" s="113">
        <f>O110+L110</f>
        <v>0</v>
      </c>
      <c r="K110" s="114"/>
      <c r="L110" s="113"/>
      <c r="M110" s="113"/>
      <c r="N110" s="113"/>
      <c r="O110" s="113"/>
      <c r="P110" s="113">
        <f t="shared" si="13"/>
        <v>1003273</v>
      </c>
    </row>
    <row r="111" spans="1:16" s="49" customFormat="1" ht="44.25" customHeight="1">
      <c r="A111" s="41">
        <v>1014060</v>
      </c>
      <c r="B111" s="27">
        <v>4060</v>
      </c>
      <c r="C111" s="17" t="s">
        <v>18</v>
      </c>
      <c r="D111" s="29" t="s">
        <v>70</v>
      </c>
      <c r="E111" s="113">
        <f t="shared" si="12"/>
        <v>10175982</v>
      </c>
      <c r="F111" s="113">
        <f>8102192+223860+2599848-745202-4716</f>
        <v>10175982</v>
      </c>
      <c r="G111" s="113">
        <f>5675961-66537-885200</f>
        <v>4724224</v>
      </c>
      <c r="H111" s="113">
        <v>797811</v>
      </c>
      <c r="I111" s="113"/>
      <c r="J111" s="113">
        <f>L111+O111</f>
        <v>0</v>
      </c>
      <c r="K111" s="114"/>
      <c r="L111" s="113"/>
      <c r="M111" s="113"/>
      <c r="N111" s="113"/>
      <c r="O111" s="113"/>
      <c r="P111" s="113">
        <f t="shared" si="13"/>
        <v>10175982</v>
      </c>
    </row>
    <row r="112" spans="1:16" s="49" customFormat="1" ht="12.75">
      <c r="A112" s="41"/>
      <c r="B112" s="27"/>
      <c r="C112" s="17"/>
      <c r="D112" s="29"/>
      <c r="E112" s="113"/>
      <c r="F112" s="113"/>
      <c r="G112" s="113"/>
      <c r="H112" s="113"/>
      <c r="I112" s="113"/>
      <c r="J112" s="113"/>
      <c r="K112" s="114"/>
      <c r="L112" s="113"/>
      <c r="M112" s="113"/>
      <c r="N112" s="113"/>
      <c r="O112" s="113"/>
      <c r="P112" s="113"/>
    </row>
    <row r="113" spans="1:16" s="49" customFormat="1" ht="12.75">
      <c r="A113" s="41">
        <v>1014082</v>
      </c>
      <c r="B113" s="27">
        <v>4082</v>
      </c>
      <c r="C113" s="17" t="s">
        <v>19</v>
      </c>
      <c r="D113" s="29" t="s">
        <v>74</v>
      </c>
      <c r="E113" s="113">
        <f t="shared" si="12"/>
        <v>70000</v>
      </c>
      <c r="F113" s="113">
        <v>70000</v>
      </c>
      <c r="G113" s="113"/>
      <c r="H113" s="113"/>
      <c r="I113" s="113"/>
      <c r="J113" s="113"/>
      <c r="K113" s="114"/>
      <c r="L113" s="113"/>
      <c r="M113" s="113"/>
      <c r="N113" s="113"/>
      <c r="O113" s="113"/>
      <c r="P113" s="113">
        <f t="shared" si="13"/>
        <v>70000</v>
      </c>
    </row>
    <row r="114" spans="1:16" s="49" customFormat="1" ht="12.75">
      <c r="A114" s="41"/>
      <c r="B114" s="27"/>
      <c r="C114" s="17"/>
      <c r="D114" s="29"/>
      <c r="E114" s="113"/>
      <c r="F114" s="113"/>
      <c r="G114" s="113"/>
      <c r="H114" s="113"/>
      <c r="I114" s="113"/>
      <c r="J114" s="113"/>
      <c r="K114" s="113"/>
      <c r="L114" s="113"/>
      <c r="M114" s="113"/>
      <c r="N114" s="113"/>
      <c r="O114" s="113"/>
      <c r="P114" s="113"/>
    </row>
    <row r="115" spans="1:16" s="49" customFormat="1" ht="33.75" customHeight="1">
      <c r="A115" s="41">
        <v>1011080</v>
      </c>
      <c r="B115" s="27">
        <v>1080</v>
      </c>
      <c r="C115" s="17" t="s">
        <v>40</v>
      </c>
      <c r="D115" s="29" t="s">
        <v>150</v>
      </c>
      <c r="E115" s="113">
        <f t="shared" si="12"/>
        <v>2596783</v>
      </c>
      <c r="F115" s="113">
        <f>2604145+49565-35927-21000</f>
        <v>2596783</v>
      </c>
      <c r="G115" s="113">
        <f>1991297-75100</f>
        <v>1916197</v>
      </c>
      <c r="H115" s="113">
        <v>90597</v>
      </c>
      <c r="I115" s="113"/>
      <c r="J115" s="113">
        <f>O115+L115</f>
        <v>128960</v>
      </c>
      <c r="K115" s="111"/>
      <c r="L115" s="113">
        <v>128960</v>
      </c>
      <c r="M115" s="113">
        <v>104065</v>
      </c>
      <c r="N115" s="110"/>
      <c r="O115" s="113"/>
      <c r="P115" s="113">
        <f t="shared" si="13"/>
        <v>2725743</v>
      </c>
    </row>
    <row r="116" spans="1:16" s="49" customFormat="1" ht="54" customHeight="1">
      <c r="A116" s="33" t="s">
        <v>186</v>
      </c>
      <c r="B116" s="27">
        <v>7363</v>
      </c>
      <c r="C116" s="28" t="s">
        <v>160</v>
      </c>
      <c r="D116" s="29" t="s">
        <v>176</v>
      </c>
      <c r="E116" s="113"/>
      <c r="F116" s="113"/>
      <c r="G116" s="113"/>
      <c r="H116" s="113"/>
      <c r="I116" s="113"/>
      <c r="J116" s="113">
        <f>O116+L116</f>
        <v>1066000</v>
      </c>
      <c r="K116" s="114">
        <v>1066000</v>
      </c>
      <c r="L116" s="113"/>
      <c r="M116" s="113"/>
      <c r="N116" s="110"/>
      <c r="O116" s="113">
        <v>1066000</v>
      </c>
      <c r="P116" s="113">
        <f t="shared" si="13"/>
        <v>1066000</v>
      </c>
    </row>
    <row r="117" spans="1:16" s="49" customFormat="1" ht="18" customHeight="1">
      <c r="A117" s="33"/>
      <c r="B117" s="27"/>
      <c r="C117" s="28"/>
      <c r="D117" s="134" t="s">
        <v>171</v>
      </c>
      <c r="E117" s="113"/>
      <c r="F117" s="113"/>
      <c r="G117" s="113"/>
      <c r="H117" s="113"/>
      <c r="I117" s="113"/>
      <c r="J117" s="113"/>
      <c r="K117" s="111"/>
      <c r="L117" s="113"/>
      <c r="M117" s="113"/>
      <c r="N117" s="110"/>
      <c r="O117" s="113"/>
      <c r="P117" s="113">
        <f t="shared" si="13"/>
        <v>0</v>
      </c>
    </row>
    <row r="118" spans="1:16" s="49" customFormat="1" ht="33.75" customHeight="1">
      <c r="A118" s="33"/>
      <c r="B118" s="27"/>
      <c r="C118" s="28"/>
      <c r="D118" s="83" t="s">
        <v>177</v>
      </c>
      <c r="E118" s="113"/>
      <c r="F118" s="113"/>
      <c r="G118" s="113"/>
      <c r="H118" s="113"/>
      <c r="I118" s="113"/>
      <c r="J118" s="113">
        <f>O118+L118</f>
        <v>1066000</v>
      </c>
      <c r="K118" s="114">
        <v>1066000</v>
      </c>
      <c r="L118" s="113"/>
      <c r="M118" s="113"/>
      <c r="N118" s="110"/>
      <c r="O118" s="113">
        <v>1066000</v>
      </c>
      <c r="P118" s="113">
        <f t="shared" si="13"/>
        <v>1066000</v>
      </c>
    </row>
    <row r="119" spans="1:16" s="49" customFormat="1" ht="12.75">
      <c r="A119" s="50"/>
      <c r="B119" s="50"/>
      <c r="C119" s="51"/>
      <c r="D119" s="42" t="s">
        <v>34</v>
      </c>
      <c r="E119" s="136">
        <f>F119+I119</f>
        <v>18337099</v>
      </c>
      <c r="F119" s="136">
        <f>F108+F109+F115+F110+F111+F113</f>
        <v>18337099</v>
      </c>
      <c r="G119" s="136">
        <f>G108+G109+G115+G110+G111+G113</f>
        <v>10308528</v>
      </c>
      <c r="H119" s="116">
        <f>H108+H109+H115+H110+H111+H113</f>
        <v>1291893</v>
      </c>
      <c r="I119" s="116">
        <f>I108+I109+I115+I110+I111+I113</f>
        <v>0</v>
      </c>
      <c r="J119" s="116">
        <f>L119+O119</f>
        <v>1299760</v>
      </c>
      <c r="K119" s="116">
        <f>K108+K109+K115+K110+K111+K113+K116</f>
        <v>1170800</v>
      </c>
      <c r="L119" s="116">
        <f>L108+L109+L115+L110+L111+L113+L116</f>
        <v>128960</v>
      </c>
      <c r="M119" s="116">
        <f>M108+M109+M115+M110+M111+M113+M116</f>
        <v>104065</v>
      </c>
      <c r="N119" s="116">
        <f>N108+N109+N115+N110+N111+N113+N116</f>
        <v>0</v>
      </c>
      <c r="O119" s="116">
        <f>O108+O109+O115+O110+O111+O113+O116</f>
        <v>1170800</v>
      </c>
      <c r="P119" s="116">
        <f>E119+J119</f>
        <v>19636859</v>
      </c>
    </row>
    <row r="120" spans="1:16" s="49" customFormat="1" ht="25.5">
      <c r="A120" s="87" t="s">
        <v>118</v>
      </c>
      <c r="B120" s="87"/>
      <c r="C120" s="88"/>
      <c r="D120" s="89" t="s">
        <v>120</v>
      </c>
      <c r="E120" s="118"/>
      <c r="F120" s="118"/>
      <c r="G120" s="118"/>
      <c r="H120" s="118"/>
      <c r="I120" s="118"/>
      <c r="J120" s="118"/>
      <c r="K120" s="118"/>
      <c r="L120" s="118"/>
      <c r="M120" s="118"/>
      <c r="N120" s="118"/>
      <c r="O120" s="118"/>
      <c r="P120" s="118"/>
    </row>
    <row r="121" spans="1:16" s="49" customFormat="1" ht="25.5">
      <c r="A121" s="87" t="s">
        <v>119</v>
      </c>
      <c r="B121" s="87"/>
      <c r="C121" s="88"/>
      <c r="D121" s="89" t="s">
        <v>120</v>
      </c>
      <c r="E121" s="118"/>
      <c r="F121" s="118"/>
      <c r="G121" s="118"/>
      <c r="H121" s="118"/>
      <c r="I121" s="118"/>
      <c r="J121" s="118"/>
      <c r="K121" s="118"/>
      <c r="L121" s="118"/>
      <c r="M121" s="118"/>
      <c r="N121" s="118"/>
      <c r="O121" s="118"/>
      <c r="P121" s="118"/>
    </row>
    <row r="122" spans="1:16" s="49" customFormat="1" ht="48" customHeight="1">
      <c r="A122" s="87" t="s">
        <v>121</v>
      </c>
      <c r="B122" s="90" t="s">
        <v>42</v>
      </c>
      <c r="C122" s="88" t="s">
        <v>12</v>
      </c>
      <c r="D122" s="89" t="s">
        <v>132</v>
      </c>
      <c r="E122" s="113">
        <f>F122+I122</f>
        <v>1691378</v>
      </c>
      <c r="F122" s="118">
        <f>1716378-25000</f>
        <v>1691378</v>
      </c>
      <c r="G122" s="118">
        <f>1374258-9000</f>
        <v>1365258</v>
      </c>
      <c r="H122" s="118">
        <f>34300-34300</f>
        <v>0</v>
      </c>
      <c r="I122" s="118"/>
      <c r="J122" s="113">
        <f>O122+L122</f>
        <v>25000</v>
      </c>
      <c r="K122" s="118">
        <v>25000</v>
      </c>
      <c r="L122" s="118"/>
      <c r="M122" s="118"/>
      <c r="N122" s="118"/>
      <c r="O122" s="118">
        <v>25000</v>
      </c>
      <c r="P122" s="113">
        <f>J122+E122</f>
        <v>1716378</v>
      </c>
    </row>
    <row r="123" spans="1:16" s="49" customFormat="1" ht="24.75" customHeight="1">
      <c r="A123" s="53" t="s">
        <v>124</v>
      </c>
      <c r="B123" s="53" t="s">
        <v>125</v>
      </c>
      <c r="C123" s="54" t="s">
        <v>22</v>
      </c>
      <c r="D123" s="55" t="s">
        <v>126</v>
      </c>
      <c r="E123" s="118">
        <v>100000</v>
      </c>
      <c r="F123" s="118"/>
      <c r="G123" s="118"/>
      <c r="H123" s="118"/>
      <c r="I123" s="118"/>
      <c r="J123" s="118"/>
      <c r="K123" s="118"/>
      <c r="L123" s="118"/>
      <c r="M123" s="118"/>
      <c r="N123" s="118"/>
      <c r="O123" s="118"/>
      <c r="P123" s="113">
        <f>J123+E123</f>
        <v>100000</v>
      </c>
    </row>
    <row r="124" spans="1:16" s="49" customFormat="1" ht="24.75" customHeight="1">
      <c r="A124" s="50"/>
      <c r="B124" s="50"/>
      <c r="C124" s="51"/>
      <c r="D124" s="42" t="s">
        <v>34</v>
      </c>
      <c r="E124" s="120">
        <f>F124+I124+E123</f>
        <v>1791378</v>
      </c>
      <c r="F124" s="120">
        <f>F122+F123</f>
        <v>1691378</v>
      </c>
      <c r="G124" s="120">
        <f>G122+G123</f>
        <v>1365258</v>
      </c>
      <c r="H124" s="120">
        <f>H122+H123</f>
        <v>0</v>
      </c>
      <c r="I124" s="120">
        <f>I122+I123</f>
        <v>0</v>
      </c>
      <c r="J124" s="113">
        <f>O124+L124</f>
        <v>25000</v>
      </c>
      <c r="K124" s="120">
        <f>K122+K123</f>
        <v>25000</v>
      </c>
      <c r="L124" s="120">
        <f>L122+L123</f>
        <v>0</v>
      </c>
      <c r="M124" s="120">
        <f>M122+M123</f>
        <v>0</v>
      </c>
      <c r="N124" s="120">
        <f>N122+N123</f>
        <v>0</v>
      </c>
      <c r="O124" s="120">
        <f>O122+O123</f>
        <v>25000</v>
      </c>
      <c r="P124" s="113">
        <f>J124+E124</f>
        <v>1816378</v>
      </c>
    </row>
    <row r="125" spans="1:27" s="49" customFormat="1" ht="18.75" customHeight="1">
      <c r="A125" s="43"/>
      <c r="B125" s="44"/>
      <c r="C125" s="45"/>
      <c r="D125" s="45" t="s">
        <v>2</v>
      </c>
      <c r="E125" s="145">
        <f>F125+I125+E123</f>
        <v>284757749.14</v>
      </c>
      <c r="F125" s="145">
        <f>F124+F119+F105+F76</f>
        <v>272302407.14</v>
      </c>
      <c r="G125" s="144">
        <f>G124+G119+G105+G76</f>
        <v>128353306</v>
      </c>
      <c r="H125" s="121">
        <f>H124+H119+H105+H76</f>
        <v>17835481</v>
      </c>
      <c r="I125" s="121">
        <f>I124+I119+I105+I76</f>
        <v>12355342</v>
      </c>
      <c r="J125" s="145">
        <f>L125+O125</f>
        <v>67439563.25999999</v>
      </c>
      <c r="K125" s="145">
        <f>K124+K119+K105+K76</f>
        <v>66146094.26</v>
      </c>
      <c r="L125" s="121">
        <f>L124+L119+L105+L76</f>
        <v>1293469</v>
      </c>
      <c r="M125" s="121">
        <f>M124+M119+M105+M76</f>
        <v>163465</v>
      </c>
      <c r="N125" s="121">
        <f>N124+N119+N105+N76</f>
        <v>0</v>
      </c>
      <c r="O125" s="145">
        <f>O124+O119+O105+O76</f>
        <v>66146094.26</v>
      </c>
      <c r="P125" s="136">
        <f>E125+J125</f>
        <v>352197312.4</v>
      </c>
      <c r="Q125" s="75"/>
      <c r="R125" s="75"/>
      <c r="S125" s="75"/>
      <c r="T125" s="75"/>
      <c r="U125" s="75"/>
      <c r="V125" s="75"/>
      <c r="W125" s="75"/>
      <c r="X125" s="75"/>
      <c r="Y125" s="75"/>
      <c r="Z125" s="75"/>
      <c r="AA125" s="76"/>
    </row>
    <row r="126" spans="1:27" s="49" customFormat="1" ht="4.5" customHeight="1">
      <c r="A126" s="95"/>
      <c r="B126" s="96"/>
      <c r="C126" s="97"/>
      <c r="D126" s="97"/>
      <c r="E126" s="122"/>
      <c r="F126" s="122"/>
      <c r="G126" s="122"/>
      <c r="H126" s="122"/>
      <c r="I126" s="122"/>
      <c r="J126" s="122"/>
      <c r="K126" s="122"/>
      <c r="L126" s="122"/>
      <c r="M126" s="122"/>
      <c r="N126" s="122"/>
      <c r="O126" s="122"/>
      <c r="P126" s="123"/>
      <c r="Q126" s="75"/>
      <c r="R126" s="75"/>
      <c r="S126" s="75"/>
      <c r="T126" s="75"/>
      <c r="U126" s="75"/>
      <c r="V126" s="75"/>
      <c r="W126" s="75"/>
      <c r="X126" s="75"/>
      <c r="Y126" s="75"/>
      <c r="Z126" s="75"/>
      <c r="AA126" s="76"/>
    </row>
    <row r="127" spans="1:16" s="49" customFormat="1" ht="57" customHeight="1">
      <c r="A127" s="52"/>
      <c r="B127" s="52"/>
      <c r="C127" s="52"/>
      <c r="D127" s="46" t="s">
        <v>27</v>
      </c>
      <c r="E127" s="140">
        <f>F127+I127</f>
        <v>59148086.44</v>
      </c>
      <c r="F127" s="140">
        <f>F85+F93+F91+F118+F53+F60</f>
        <v>59148086.44</v>
      </c>
      <c r="G127" s="124">
        <f>G85+G93+G91+G118+G53</f>
        <v>48179180</v>
      </c>
      <c r="H127" s="124">
        <f>H85+H93+H91+H118+H53</f>
        <v>0</v>
      </c>
      <c r="I127" s="124">
        <f>I85+I93+I91+I118+I53</f>
        <v>0</v>
      </c>
      <c r="J127" s="140">
        <f>L127+O127</f>
        <v>11524829.1</v>
      </c>
      <c r="K127" s="140">
        <f>K85+K93+K91+K118+K53+K96</f>
        <v>11071090.1</v>
      </c>
      <c r="L127" s="124">
        <f>L85+L93+L91+L118+L53+L98</f>
        <v>453739</v>
      </c>
      <c r="M127" s="140">
        <f>M85+M93+M91+M118+M53</f>
        <v>0</v>
      </c>
      <c r="N127" s="140">
        <f>N85+N93+N91+N118+N53</f>
        <v>0</v>
      </c>
      <c r="O127" s="140">
        <f>O85+O93+O91+O118+O53+O96</f>
        <v>11071090.1</v>
      </c>
      <c r="P127" s="138">
        <f>E127+J127</f>
        <v>70672915.53999999</v>
      </c>
    </row>
    <row r="128" spans="1:16" s="49" customFormat="1" ht="27" customHeight="1">
      <c r="A128" s="52"/>
      <c r="B128" s="52"/>
      <c r="C128" s="52"/>
      <c r="D128" s="46" t="s">
        <v>187</v>
      </c>
      <c r="E128" s="124"/>
      <c r="F128" s="124"/>
      <c r="G128" s="124"/>
      <c r="H128" s="124"/>
      <c r="I128" s="124"/>
      <c r="J128" s="124"/>
      <c r="K128" s="124"/>
      <c r="L128" s="124"/>
      <c r="M128" s="124"/>
      <c r="N128" s="124"/>
      <c r="O128" s="124"/>
      <c r="P128" s="137"/>
    </row>
    <row r="129" spans="1:16" s="49" customFormat="1" ht="90.75" customHeight="1">
      <c r="A129" s="52"/>
      <c r="B129" s="52"/>
      <c r="C129" s="52"/>
      <c r="D129" s="46" t="s">
        <v>188</v>
      </c>
      <c r="E129" s="140">
        <f>F129+I129</f>
        <v>314636.44</v>
      </c>
      <c r="F129" s="140">
        <f>F53+F118+F60</f>
        <v>314636.44</v>
      </c>
      <c r="G129" s="124">
        <f>G53+G118</f>
        <v>0</v>
      </c>
      <c r="H129" s="124">
        <f>H53+H118</f>
        <v>0</v>
      </c>
      <c r="I129" s="124">
        <f>I53+I118</f>
        <v>0</v>
      </c>
      <c r="J129" s="140">
        <f>L129+O129</f>
        <v>1351090.1</v>
      </c>
      <c r="K129" s="140">
        <f>K53+K118</f>
        <v>1351090.1</v>
      </c>
      <c r="L129" s="140">
        <f>L53+L118</f>
        <v>0</v>
      </c>
      <c r="M129" s="140">
        <f>M53+M118</f>
        <v>0</v>
      </c>
      <c r="N129" s="140">
        <f>N53+N118</f>
        <v>0</v>
      </c>
      <c r="O129" s="139">
        <f>O53+O118</f>
        <v>1351090.1</v>
      </c>
      <c r="P129" s="138">
        <f>E129+J129</f>
        <v>1665726.54</v>
      </c>
    </row>
    <row r="130" spans="1:16" ht="33" customHeight="1">
      <c r="A130" s="81" t="s">
        <v>90</v>
      </c>
      <c r="B130" s="81"/>
      <c r="C130" s="81"/>
      <c r="D130" s="81"/>
      <c r="E130" s="23"/>
      <c r="F130" s="65"/>
      <c r="G130" s="65"/>
      <c r="H130" s="65"/>
      <c r="I130" s="66"/>
      <c r="J130" s="162" t="s">
        <v>91</v>
      </c>
      <c r="K130" s="162"/>
      <c r="L130" s="162"/>
      <c r="M130" s="162"/>
      <c r="N130" s="162"/>
      <c r="O130" s="65"/>
      <c r="P130" s="65"/>
    </row>
    <row r="131" spans="2:18" ht="15">
      <c r="B131" s="2"/>
      <c r="D131" s="30"/>
      <c r="F131" s="67"/>
      <c r="G131" s="67"/>
      <c r="H131" s="67"/>
      <c r="I131" s="13"/>
      <c r="J131" s="67"/>
      <c r="K131" s="68"/>
      <c r="L131" s="67"/>
      <c r="M131" s="67"/>
      <c r="N131" s="67"/>
      <c r="O131" s="67"/>
      <c r="P131" s="67"/>
      <c r="R131" s="62">
        <v>95817.34632</v>
      </c>
    </row>
    <row r="132" spans="5:16" ht="12.75">
      <c r="E132" s="12"/>
      <c r="F132" s="12"/>
      <c r="G132" s="12"/>
      <c r="H132" s="12"/>
      <c r="I132" s="12"/>
      <c r="J132" s="12"/>
      <c r="K132" s="12"/>
      <c r="L132" s="12"/>
      <c r="M132" s="12"/>
      <c r="N132" s="12"/>
      <c r="O132" s="12"/>
      <c r="P132" s="12"/>
    </row>
    <row r="134" spans="1:16" ht="12.75">
      <c r="A134" s="3"/>
      <c r="E134" s="12"/>
      <c r="F134" s="12"/>
      <c r="G134" s="12"/>
      <c r="H134" s="12"/>
      <c r="I134" s="12"/>
      <c r="J134" s="12"/>
      <c r="K134" s="12"/>
      <c r="L134" s="12"/>
      <c r="M134" s="12"/>
      <c r="N134" s="12"/>
      <c r="O134" s="12"/>
      <c r="P134" s="12"/>
    </row>
    <row r="135" spans="1:12" ht="12.75">
      <c r="A135" s="3"/>
      <c r="L135" s="12"/>
    </row>
    <row r="136" ht="12.75">
      <c r="A136" s="3"/>
    </row>
    <row r="137" ht="12.75">
      <c r="A137" s="3"/>
    </row>
    <row r="162" spans="3:8" ht="12.75">
      <c r="C162" s="77"/>
      <c r="D162" s="78"/>
      <c r="E162" s="78"/>
      <c r="F162" s="79"/>
      <c r="G162" s="80"/>
      <c r="H162" s="77"/>
    </row>
    <row r="163" spans="3:8" ht="12.75">
      <c r="C163" s="77"/>
      <c r="D163" s="77"/>
      <c r="E163" s="77"/>
      <c r="F163" s="77"/>
      <c r="G163" s="77"/>
      <c r="H163" s="77"/>
    </row>
  </sheetData>
  <sheetProtection/>
  <mergeCells count="26">
    <mergeCell ref="N3:O3"/>
    <mergeCell ref="J130:N130"/>
    <mergeCell ref="B8:C8"/>
    <mergeCell ref="B9:C9"/>
    <mergeCell ref="F11:F13"/>
    <mergeCell ref="G11:H11"/>
    <mergeCell ref="D10:D13"/>
    <mergeCell ref="E10:I10"/>
    <mergeCell ref="E11:E13"/>
    <mergeCell ref="J11:J13"/>
    <mergeCell ref="O11:O13"/>
    <mergeCell ref="H12:H13"/>
    <mergeCell ref="I11:I13"/>
    <mergeCell ref="L11:L13"/>
    <mergeCell ref="M11:N11"/>
    <mergeCell ref="K11:K13"/>
    <mergeCell ref="A5:P5"/>
    <mergeCell ref="A6:P6"/>
    <mergeCell ref="A10:A13"/>
    <mergeCell ref="B10:B13"/>
    <mergeCell ref="C10:C13"/>
    <mergeCell ref="P10:P13"/>
    <mergeCell ref="M12:M13"/>
    <mergeCell ref="G12:G13"/>
    <mergeCell ref="J10:O10"/>
    <mergeCell ref="N12:N13"/>
  </mergeCells>
  <printOptions/>
  <pageMargins left="0.1968503937007874" right="0.1968503937007874" top="0.3937007874015748" bottom="0.1968503937007874" header="0" footer="0"/>
  <pageSetup fitToHeight="500" horizontalDpi="600" verticalDpi="600" orientation="landscape" paperSize="9" scale="52" r:id="rId1"/>
  <headerFooter differentFirst="1" alignWithMargins="0">
    <oddHeader>&amp;RПродовження додатка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Admin</cp:lastModifiedBy>
  <cp:lastPrinted>2023-12-13T08:18:41Z</cp:lastPrinted>
  <dcterms:created xsi:type="dcterms:W3CDTF">2016-12-26T13:46:38Z</dcterms:created>
  <dcterms:modified xsi:type="dcterms:W3CDTF">2023-12-13T08:21:48Z</dcterms:modified>
  <cp:category/>
  <cp:version/>
  <cp:contentType/>
  <cp:contentStatus/>
</cp:coreProperties>
</file>