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'Лист1'!$A$1:$P$111</definedName>
  </definedNames>
  <calcPr fullCalcOnLoad="1"/>
</workbook>
</file>

<file path=xl/sharedStrings.xml><?xml version="1.0" encoding="utf-8"?>
<sst xmlns="http://schemas.openxmlformats.org/spreadsheetml/2006/main" count="212" uniqueCount="171">
  <si>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</si>
  <si>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</si>
  <si>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</si>
  <si>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</si>
  <si>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</si>
  <si>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</si>
  <si>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</si>
  <si>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</si>
  <si>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</si>
  <si>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</si>
  <si>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</si>
  <si>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</si>
  <si>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</si>
  <si>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</si>
  <si>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</si>
  <si>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</si>
  <si>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</si>
  <si>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</si>
  <si>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</si>
  <si>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</si>
  <si>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</si>
  <si>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</si>
  <si>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</si>
  <si>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Резервний фонд</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</si>
  <si>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</si>
  <si>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</si>
  <si>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</si>
  <si>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</si>
  <si>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</si>
  <si>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</si>
  <si>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</si>
  <si>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</si>
  <si>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</si>
  <si>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</si>
  <si>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</si>
  <si>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</si>
  <si>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</si>
  <si>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</si>
  <si>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</si>
  <si>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</si>
  <si>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</si>
  <si>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</si>
  <si>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1020</t>
  </si>
  <si>
    <t>0921</t>
  </si>
  <si>
    <t>в тому числі:</t>
  </si>
  <si>
    <t>за рахунок освітньої субвенції з державного бюджету</t>
  </si>
  <si>
    <t>0960</t>
  </si>
  <si>
    <t>Утримання та навчально-тренувальна робота комунальних дитячо-юнацьких спортивних шкіл</t>
  </si>
  <si>
    <t xml:space="preserve">за рахунок додаткової дотації з державного бюджету на здійснення переданих з державного бюджету видатків з утримання закладів освіти та охорони здоровя </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</si>
  <si>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</si>
  <si>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</si>
  <si>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</si>
  <si>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</si>
  <si>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</si>
  <si>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</si>
  <si>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</si>
  <si>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</si>
  <si>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</si>
  <si>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0443</t>
  </si>
  <si>
    <t>0118700</t>
  </si>
  <si>
    <t>8700</t>
  </si>
  <si>
    <t>0119410</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</si>
  <si>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</si>
  <si>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</si>
  <si>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</si>
  <si>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</si>
  <si>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</si>
  <si>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</si>
  <si>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</si>
  <si>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0119770</t>
  </si>
  <si>
    <t>Інші субвенції з місцевого бюджету</t>
  </si>
  <si>
    <t>0118340</t>
  </si>
  <si>
    <t>Природоохоронні заходи за рахунок цільових фондів</t>
  </si>
  <si>
    <t>0600000</t>
  </si>
  <si>
    <t>0610000</t>
  </si>
  <si>
    <t>0610160</t>
  </si>
  <si>
    <t>Керівництво і управління у відповідній сфері у містах (місті Києві), селищах, селах, об"єднаних територіальних громадах</t>
  </si>
  <si>
    <t>0611000</t>
  </si>
  <si>
    <t>0611010</t>
  </si>
  <si>
    <t>Надання дошкільної освіти</t>
  </si>
  <si>
    <t>0611020</t>
  </si>
  <si>
    <t>0611090</t>
  </si>
  <si>
    <t>0611150</t>
  </si>
  <si>
    <t>1150</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</si>
  <si>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</si>
  <si>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</si>
  <si>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</si>
  <si>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</si>
  <si>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</si>
  <si>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</si>
  <si>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</si>
  <si>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</si>
  <si>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</si>
  <si>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0611161</t>
  </si>
  <si>
    <t>1161</t>
  </si>
  <si>
    <t>Забезпечення діяльності інших закладів у сфері освіти</t>
  </si>
  <si>
    <t>0611162</t>
  </si>
  <si>
    <t>1162</t>
  </si>
  <si>
    <t>Інші програми та заходи у сфері освіти</t>
  </si>
  <si>
    <t>0617321</t>
  </si>
  <si>
    <t>Будівництво освітніх установ та закладів</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</si>
  <si>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</si>
  <si>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</si>
  <si>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</si>
  <si>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Код Функціональної класифікації видатків та кредитування бюджету</t>
  </si>
  <si>
    <t>усього</t>
  </si>
  <si>
    <t>у тому числі бюджет розвитку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</si>
  <si>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 районний центр соціальних служб для сім’ї ,дітей та молоді, інші заходи)</t>
  </si>
  <si>
    <t>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</si>
  <si>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субвенції з місцевого бюджету на здійснення переданих видатків у сфері освіти за рахунок коштів освітньої субвенції</t>
  </si>
  <si>
    <t>(грн)</t>
  </si>
  <si>
    <t>0116013</t>
  </si>
  <si>
    <t>Забезпечення діяльності водопровідно-каналізаційного господарства</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</si>
  <si>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</si>
  <si>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видатків  міського бюджету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</si>
  <si>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</si>
  <si>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</si>
  <si>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</si>
  <si>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</si>
  <si>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</si>
  <si>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Субввенція з місцевого бюджету на здійснення переданих видатків у сфері охорони здоров"я за рахунок коштів медичної субвенції</t>
  </si>
  <si>
    <t>0611170</t>
  </si>
  <si>
    <t>Забезпечення діяльності інклюзивно-ресурсних центрів</t>
  </si>
  <si>
    <t>0117693</t>
  </si>
  <si>
    <t>0490</t>
  </si>
  <si>
    <t>7693</t>
  </si>
  <si>
    <t>Інші заходи, пов"язані з економічною діяльністю</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</si>
  <si>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</si>
  <si>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</si>
  <si>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Методичне забезпечення діяльності закладів освіти </t>
  </si>
  <si>
    <t>Будівництво об'єктів житлово-комунального господарства
Подробиці: https://buhgalter.com.ua/dovidnik/byudzhetna-klasifikatsiya/tipova-programna-klasifikatsiya-vidatkiv-ta-kredituvannya-mistsevih/</t>
  </si>
  <si>
    <t>0117310</t>
  </si>
  <si>
    <t>Надання спеціальної освіти мистецькими школами</t>
  </si>
  <si>
    <t>Уточнений розподіл</t>
  </si>
  <si>
    <t>0112112</t>
  </si>
  <si>
    <t>2112</t>
  </si>
  <si>
    <t>0725</t>
  </si>
  <si>
    <t>Первинна медична допомога населенню, що надається фельдшерськими, фельдшерсько-акушерськими пунктами</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</si>
  <si>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</si>
  <si>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</si>
  <si>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</si>
  <si>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</si>
  <si>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</si>
  <si>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</si>
  <si>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</si>
  <si>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</si>
  <si>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</si>
  <si>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</si>
  <si>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</si>
  <si>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</si>
  <si>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за рахунок залишку коштів субвенції з державного бюджету на здійснення заходів щодо соціально-економічного розвитку окремих територій, що утворився на початок бюджетного періоду (залишок коштів станом на 01.01.2020)</t>
  </si>
  <si>
    <t>0119420</t>
  </si>
  <si>
    <t>Субвенція з місцевого бюджету за рахунок залишку коштів медичної субвенції, що утворився на початок бюджетного періоду</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</si>
  <si>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</si>
  <si>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</si>
  <si>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за рахунок залишку коштів освітньої субвенції, що утворився на початок бюджетного періоду</t>
  </si>
  <si>
    <t>з них:</t>
  </si>
  <si>
    <t>за рахунок залишку коштів, що утворився на початок бюджетного періоду (залишок коштів міського бюджету станом на 01.01.2020)</t>
  </si>
  <si>
    <t>0617325</t>
  </si>
  <si>
    <t>Будівництво споруд, установ та закладів фізичної культури і спорту</t>
  </si>
  <si>
    <t>Додаток 3</t>
  </si>
  <si>
    <t>Перший заступник міського голови</t>
  </si>
  <si>
    <t>Володимир ДРАГУНОВСЬКИЙ</t>
  </si>
  <si>
    <t>за рахунок субвенція з місцевого бюджету за рахунок залишку коштів освітньої субвенції, що утворився на початок бюджетного періоду</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</si>
  <si>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</si>
  <si>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</si>
  <si>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за рахунок залишку коштів субвенції з місцевого бюджету на здійснення переданих видатків у сфері освіти за рахунок коштів освітньої субвенції</t>
  </si>
  <si>
    <t>Будівництво установ та закладів культури</t>
  </si>
  <si>
    <t>субвенція з міського бюджету Баштанської міської ради обласному бюджету Миколаївської області на співфінасування закупівлі комп"ютерного обладнання</t>
  </si>
  <si>
    <t xml:space="preserve"> за рахунок субвенції з місцевого бюджету на забезпечення якісної, сучасної та доступної загальної середньої освіти " Нова українська школа" за рахунок відповідної субвенції з державного бюджету</t>
  </si>
  <si>
    <t xml:space="preserve"> 23 червня  2020 року №7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</si>
</sst>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9">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26">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3" fillId="0" borderId="10" xfId="0" applyNumberFormat="1" applyFont="1" applyBorder="1" applyAlignment="1">
      <alignment vertical="top"/>
    </xf>
    <xf numFmtId="180" fontId="53"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3" fillId="34" borderId="10" xfId="0" applyNumberFormat="1" applyFont="1" applyFill="1" applyBorder="1" applyAlignment="1">
      <alignment vertical="top"/>
    </xf>
    <xf numFmtId="0" fontId="54" fillId="0" borderId="0" xfId="0" applyFont="1" applyAlignment="1">
      <alignment vertical="center"/>
    </xf>
    <xf numFmtId="0" fontId="55" fillId="0" borderId="0" xfId="0" applyFont="1" applyAlignment="1">
      <alignment/>
    </xf>
    <xf numFmtId="0" fontId="54" fillId="0" borderId="0" xfId="0" applyFont="1" applyAlignment="1">
      <alignment/>
    </xf>
    <xf numFmtId="0" fontId="54" fillId="34" borderId="0" xfId="0" applyFont="1" applyFill="1" applyAlignment="1">
      <alignment/>
    </xf>
    <xf numFmtId="1" fontId="1" fillId="33" borderId="10" xfId="0" applyNumberFormat="1" applyFont="1" applyFill="1" applyBorder="1" applyAlignment="1">
      <alignment vertical="top" wrapText="1"/>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40" fillId="0" borderId="0" xfId="42" applyAlignment="1">
      <alignment/>
    </xf>
    <xf numFmtId="0" fontId="56"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 fontId="1" fillId="0" borderId="10" xfId="0" applyNumberFormat="1" applyFont="1" applyBorder="1" applyAlignment="1" quotePrefix="1">
      <alignment horizontal="center"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2" fontId="1" fillId="33" borderId="11" xfId="0" applyNumberFormat="1" applyFont="1" applyFill="1" applyBorder="1" applyAlignment="1">
      <alignment vertical="top" wrapText="1"/>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7"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57" fillId="33" borderId="10" xfId="0" applyNumberFormat="1" applyFont="1" applyFill="1" applyBorder="1" applyAlignment="1">
      <alignment vertical="top" wrapText="1"/>
    </xf>
    <xf numFmtId="2" fontId="57"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3" fillId="0" borderId="10" xfId="0" applyNumberFormat="1" applyFont="1" applyBorder="1" applyAlignment="1">
      <alignment vertical="top" wrapText="1"/>
    </xf>
    <xf numFmtId="2" fontId="53" fillId="0" borderId="10" xfId="0" applyNumberFormat="1" applyFont="1" applyBorder="1" applyAlignment="1">
      <alignment vertical="top"/>
    </xf>
    <xf numFmtId="2" fontId="53"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8" fillId="0" borderId="10" xfId="0" applyNumberFormat="1" applyFont="1" applyBorder="1" applyAlignment="1">
      <alignment vertical="top"/>
    </xf>
    <xf numFmtId="2" fontId="0" fillId="0" borderId="0" xfId="0" applyNumberFormat="1" applyAlignment="1">
      <alignment vertical="top"/>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0" xfId="0" applyFont="1" applyAlignment="1">
      <alignment horizontal="center" vertical="center"/>
    </xf>
    <xf numFmtId="0" fontId="0" fillId="0" borderId="14" xfId="0" applyBorder="1" applyAlignment="1">
      <alignment horizontal="center"/>
    </xf>
    <xf numFmtId="0" fontId="0" fillId="0" borderId="15"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3"/>
  <sheetViews>
    <sheetView tabSelected="1" view="pageBreakPreview" zoomScale="75" zoomScaleSheetLayoutView="75" workbookViewId="0" topLeftCell="A1">
      <pane ySplit="13" topLeftCell="A14" activePane="bottomLeft" state="frozen"/>
      <selection pane="topLeft" activeCell="B1" sqref="B1"/>
      <selection pane="bottomLeft" activeCell="G17" sqref="G17"/>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6.62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8" max="18" width="14.375" style="0" bestFit="1" customWidth="1"/>
  </cols>
  <sheetData>
    <row r="1" spans="1:14" ht="12.75">
      <c r="A1" t="s">
        <v>0</v>
      </c>
      <c r="N1" t="s">
        <v>160</v>
      </c>
    </row>
    <row r="2" ht="12.75">
      <c r="N2" t="s">
        <v>28</v>
      </c>
    </row>
    <row r="3" ht="12.75">
      <c r="N3" t="s">
        <v>170</v>
      </c>
    </row>
    <row r="5" spans="1:16" ht="12.75">
      <c r="A5" s="115" t="s">
        <v>133</v>
      </c>
      <c r="B5" s="116"/>
      <c r="C5" s="116"/>
      <c r="D5" s="116"/>
      <c r="E5" s="116"/>
      <c r="F5" s="116"/>
      <c r="G5" s="116"/>
      <c r="H5" s="116"/>
      <c r="I5" s="116"/>
      <c r="J5" s="116"/>
      <c r="K5" s="116"/>
      <c r="L5" s="116"/>
      <c r="M5" s="116"/>
      <c r="N5" s="116"/>
      <c r="O5" s="116"/>
      <c r="P5" s="116"/>
    </row>
    <row r="6" spans="1:16" ht="12.75">
      <c r="A6" s="115" t="s">
        <v>114</v>
      </c>
      <c r="B6" s="116"/>
      <c r="C6" s="116"/>
      <c r="D6" s="116"/>
      <c r="E6" s="116"/>
      <c r="F6" s="116"/>
      <c r="G6" s="116"/>
      <c r="H6" s="116"/>
      <c r="I6" s="116"/>
      <c r="J6" s="116"/>
      <c r="K6" s="116"/>
      <c r="L6" s="116"/>
      <c r="M6" s="116"/>
      <c r="N6" s="116"/>
      <c r="O6" s="116"/>
      <c r="P6" s="116"/>
    </row>
    <row r="7" spans="1:16" ht="12.75">
      <c r="A7" s="83"/>
      <c r="B7" s="84"/>
      <c r="C7" s="84"/>
      <c r="D7" s="84"/>
      <c r="E7" s="84"/>
      <c r="F7" s="84"/>
      <c r="G7" s="84"/>
      <c r="H7" s="84"/>
      <c r="I7" s="84"/>
      <c r="J7" s="84"/>
      <c r="K7" s="84"/>
      <c r="L7" s="84"/>
      <c r="M7" s="84"/>
      <c r="N7" s="84"/>
      <c r="O7" s="84"/>
      <c r="P7" s="84"/>
    </row>
    <row r="8" spans="1:16" ht="12.75">
      <c r="A8" s="83"/>
      <c r="B8" s="124">
        <v>14502000000</v>
      </c>
      <c r="C8" s="124"/>
      <c r="D8" s="84"/>
      <c r="E8" s="84"/>
      <c r="F8" s="84"/>
      <c r="G8" s="84"/>
      <c r="H8" s="84"/>
      <c r="I8" s="84"/>
      <c r="J8" s="84"/>
      <c r="K8" s="84"/>
      <c r="L8" s="84"/>
      <c r="M8" s="84"/>
      <c r="N8" s="84"/>
      <c r="O8" s="84"/>
      <c r="P8" s="84"/>
    </row>
    <row r="9" spans="2:16" ht="12.75">
      <c r="B9" s="125" t="s">
        <v>115</v>
      </c>
      <c r="C9" s="125"/>
      <c r="P9" s="1" t="s">
        <v>110</v>
      </c>
    </row>
    <row r="10" spans="1:16" ht="12.75">
      <c r="A10" s="117" t="s">
        <v>116</v>
      </c>
      <c r="B10" s="117" t="s">
        <v>117</v>
      </c>
      <c r="C10" s="117" t="s">
        <v>104</v>
      </c>
      <c r="D10" s="118" t="s">
        <v>118</v>
      </c>
      <c r="E10" s="118" t="s">
        <v>1</v>
      </c>
      <c r="F10" s="118"/>
      <c r="G10" s="118"/>
      <c r="H10" s="118"/>
      <c r="I10" s="118"/>
      <c r="J10" s="118" t="s">
        <v>8</v>
      </c>
      <c r="K10" s="118"/>
      <c r="L10" s="118"/>
      <c r="M10" s="118"/>
      <c r="N10" s="118"/>
      <c r="O10" s="118"/>
      <c r="P10" s="119" t="s">
        <v>37</v>
      </c>
    </row>
    <row r="11" spans="1:16" ht="12.75">
      <c r="A11" s="118"/>
      <c r="B11" s="118"/>
      <c r="C11" s="118"/>
      <c r="D11" s="118"/>
      <c r="E11" s="119" t="s">
        <v>105</v>
      </c>
      <c r="F11" s="118" t="s">
        <v>3</v>
      </c>
      <c r="G11" s="118" t="s">
        <v>4</v>
      </c>
      <c r="H11" s="118"/>
      <c r="I11" s="118" t="s">
        <v>7</v>
      </c>
      <c r="J11" s="119" t="s">
        <v>105</v>
      </c>
      <c r="K11" s="120" t="s">
        <v>106</v>
      </c>
      <c r="L11" s="118" t="s">
        <v>3</v>
      </c>
      <c r="M11" s="118" t="s">
        <v>4</v>
      </c>
      <c r="N11" s="118"/>
      <c r="O11" s="118" t="s">
        <v>7</v>
      </c>
      <c r="P11" s="118"/>
    </row>
    <row r="12" spans="1:16" ht="12.75" customHeight="1">
      <c r="A12" s="118"/>
      <c r="B12" s="118"/>
      <c r="C12" s="118"/>
      <c r="D12" s="118"/>
      <c r="E12" s="118"/>
      <c r="F12" s="118"/>
      <c r="G12" s="118" t="s">
        <v>5</v>
      </c>
      <c r="H12" s="118" t="s">
        <v>6</v>
      </c>
      <c r="I12" s="118"/>
      <c r="J12" s="118"/>
      <c r="K12" s="121"/>
      <c r="L12" s="118"/>
      <c r="M12" s="118" t="s">
        <v>5</v>
      </c>
      <c r="N12" s="118" t="s">
        <v>6</v>
      </c>
      <c r="O12" s="118"/>
      <c r="P12" s="118"/>
    </row>
    <row r="13" spans="1:16" ht="58.5" customHeight="1">
      <c r="A13" s="118"/>
      <c r="B13" s="118"/>
      <c r="C13" s="118"/>
      <c r="D13" s="118"/>
      <c r="E13" s="118"/>
      <c r="F13" s="118"/>
      <c r="G13" s="118"/>
      <c r="H13" s="118"/>
      <c r="I13" s="118"/>
      <c r="J13" s="118"/>
      <c r="K13" s="122"/>
      <c r="L13" s="118"/>
      <c r="M13" s="118"/>
      <c r="N13" s="118"/>
      <c r="O13" s="118"/>
      <c r="P13" s="118"/>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51</v>
      </c>
      <c r="B17" s="35" t="s">
        <v>52</v>
      </c>
      <c r="C17" s="36" t="s">
        <v>12</v>
      </c>
      <c r="D17" s="34" t="s">
        <v>40</v>
      </c>
      <c r="E17" s="77">
        <f>F17+I17</f>
        <v>24717246</v>
      </c>
      <c r="F17" s="92">
        <f>24775746+300000+40000-400000-15000+25000-8500+45000-45000</f>
        <v>24717246</v>
      </c>
      <c r="G17" s="92">
        <f>18398859+246000-327800</f>
        <v>18317059</v>
      </c>
      <c r="H17" s="92">
        <f>612600-45000</f>
        <v>567600</v>
      </c>
      <c r="I17" s="92">
        <v>0</v>
      </c>
      <c r="J17" s="77">
        <f>L17+O17</f>
        <v>52039</v>
      </c>
      <c r="K17" s="91">
        <f>32000+15000</f>
        <v>47000</v>
      </c>
      <c r="L17" s="92">
        <v>5039</v>
      </c>
      <c r="M17" s="92">
        <v>0</v>
      </c>
      <c r="N17" s="92">
        <v>0</v>
      </c>
      <c r="O17" s="92">
        <f>32000+15000</f>
        <v>47000</v>
      </c>
      <c r="P17" s="77">
        <f>E17+J17</f>
        <v>24769285</v>
      </c>
    </row>
    <row r="18" spans="1:16" s="54" customFormat="1" ht="51.75" customHeight="1">
      <c r="A18" s="35" t="s">
        <v>134</v>
      </c>
      <c r="B18" s="35" t="s">
        <v>135</v>
      </c>
      <c r="C18" s="36" t="s">
        <v>136</v>
      </c>
      <c r="D18" s="88" t="s">
        <v>137</v>
      </c>
      <c r="E18" s="77">
        <f>F18+I18</f>
        <v>12000</v>
      </c>
      <c r="F18" s="92">
        <v>12000</v>
      </c>
      <c r="G18" s="92"/>
      <c r="H18" s="92"/>
      <c r="I18" s="92"/>
      <c r="J18" s="77"/>
      <c r="K18" s="91"/>
      <c r="L18" s="92"/>
      <c r="M18" s="92"/>
      <c r="N18" s="92"/>
      <c r="O18" s="92"/>
      <c r="P18" s="77">
        <f>E18+J18</f>
        <v>12000</v>
      </c>
    </row>
    <row r="19" spans="1:16" s="54" customFormat="1" ht="36.75" customHeight="1">
      <c r="A19" s="35" t="s">
        <v>32</v>
      </c>
      <c r="B19" s="35"/>
      <c r="C19" s="36"/>
      <c r="D19" s="38" t="s">
        <v>33</v>
      </c>
      <c r="E19" s="77">
        <f>F19+I19</f>
        <v>586000</v>
      </c>
      <c r="F19" s="92">
        <f>F21+F23+F25</f>
        <v>586000</v>
      </c>
      <c r="G19" s="92">
        <f>G21+G23+G25</f>
        <v>0</v>
      </c>
      <c r="H19" s="92">
        <f>H21+H23+H25</f>
        <v>0</v>
      </c>
      <c r="I19" s="92">
        <f>I21+I23+I25</f>
        <v>0</v>
      </c>
      <c r="J19" s="77">
        <f>L19+O19</f>
        <v>10000</v>
      </c>
      <c r="K19" s="92">
        <f>K21+K23+K25+K20</f>
        <v>10000</v>
      </c>
      <c r="L19" s="92">
        <f>L21+L23+L25+L20</f>
        <v>0</v>
      </c>
      <c r="M19" s="92">
        <f>M21+M23+M25+M20</f>
        <v>0</v>
      </c>
      <c r="N19" s="92">
        <f>N21+N23+N25+N20</f>
        <v>0</v>
      </c>
      <c r="O19" s="92">
        <f>O21+O23+O25+O20</f>
        <v>10000</v>
      </c>
      <c r="P19" s="77">
        <f>E19+J19</f>
        <v>596000</v>
      </c>
    </row>
    <row r="20" spans="1:16" s="54" customFormat="1" ht="75" customHeight="1">
      <c r="A20" s="35" t="s">
        <v>138</v>
      </c>
      <c r="B20" s="35">
        <v>3111</v>
      </c>
      <c r="C20" s="89">
        <v>1040</v>
      </c>
      <c r="D20" s="90" t="s">
        <v>139</v>
      </c>
      <c r="E20" s="77"/>
      <c r="F20" s="92"/>
      <c r="G20" s="92"/>
      <c r="H20" s="92"/>
      <c r="I20" s="92"/>
      <c r="J20" s="77">
        <f>L20+O20</f>
        <v>10000</v>
      </c>
      <c r="K20" s="92">
        <v>10000</v>
      </c>
      <c r="L20" s="92"/>
      <c r="M20" s="92"/>
      <c r="N20" s="92"/>
      <c r="O20" s="92">
        <v>10000</v>
      </c>
      <c r="P20" s="77">
        <f>E20+J20</f>
        <v>10000</v>
      </c>
    </row>
    <row r="21" spans="1:16" s="54" customFormat="1" ht="87.75" customHeight="1">
      <c r="A21" s="27" t="s">
        <v>54</v>
      </c>
      <c r="B21" s="27">
        <v>3180</v>
      </c>
      <c r="C21" s="28" t="s">
        <v>41</v>
      </c>
      <c r="D21" s="31" t="s">
        <v>53</v>
      </c>
      <c r="E21" s="77">
        <f>F21+I21</f>
        <v>45000</v>
      </c>
      <c r="F21" s="92">
        <v>45000</v>
      </c>
      <c r="G21" s="92"/>
      <c r="H21" s="92"/>
      <c r="I21" s="92"/>
      <c r="J21" s="77"/>
      <c r="K21" s="91"/>
      <c r="L21" s="92"/>
      <c r="M21" s="92"/>
      <c r="N21" s="92"/>
      <c r="O21" s="92"/>
      <c r="P21" s="77">
        <f>E21+J21</f>
        <v>45000</v>
      </c>
    </row>
    <row r="22" spans="1:16" s="54" customFormat="1" ht="3" customHeight="1">
      <c r="A22" s="29"/>
      <c r="B22" s="29"/>
      <c r="C22" s="30"/>
      <c r="D22" s="40"/>
      <c r="E22" s="77"/>
      <c r="F22" s="92"/>
      <c r="G22" s="92"/>
      <c r="H22" s="92"/>
      <c r="I22" s="92"/>
      <c r="J22" s="77"/>
      <c r="K22" s="91"/>
      <c r="L22" s="92"/>
      <c r="M22" s="92"/>
      <c r="N22" s="92"/>
      <c r="O22" s="92"/>
      <c r="P22" s="77"/>
    </row>
    <row r="23" spans="1:16" s="54" customFormat="1" ht="25.5">
      <c r="A23" s="24" t="s">
        <v>101</v>
      </c>
      <c r="B23" s="24" t="s">
        <v>102</v>
      </c>
      <c r="C23" s="17" t="s">
        <v>16</v>
      </c>
      <c r="D23" s="25" t="s">
        <v>38</v>
      </c>
      <c r="E23" s="77">
        <f>I23+F23</f>
        <v>226000</v>
      </c>
      <c r="F23" s="92">
        <v>226000</v>
      </c>
      <c r="G23" s="92"/>
      <c r="H23" s="92"/>
      <c r="I23" s="92"/>
      <c r="J23" s="77"/>
      <c r="K23" s="91"/>
      <c r="L23" s="92"/>
      <c r="M23" s="92"/>
      <c r="N23" s="92"/>
      <c r="O23" s="92"/>
      <c r="P23" s="77">
        <f aca="true" t="shared" si="0" ref="P23:P56">E23+J23</f>
        <v>226000</v>
      </c>
    </row>
    <row r="24" spans="1:16" s="54" customFormat="1" ht="6" customHeight="1">
      <c r="A24" s="35"/>
      <c r="B24" s="35"/>
      <c r="C24" s="36"/>
      <c r="D24" s="39"/>
      <c r="E24" s="77"/>
      <c r="F24" s="92"/>
      <c r="G24" s="92"/>
      <c r="H24" s="92"/>
      <c r="I24" s="92"/>
      <c r="J24" s="77"/>
      <c r="K24" s="91"/>
      <c r="L24" s="92"/>
      <c r="M24" s="92"/>
      <c r="N24" s="92"/>
      <c r="O24" s="92"/>
      <c r="P24" s="77"/>
    </row>
    <row r="25" spans="1:16" s="54" customFormat="1" ht="25.5">
      <c r="A25" s="35" t="s">
        <v>90</v>
      </c>
      <c r="B25" s="35">
        <v>3242</v>
      </c>
      <c r="C25" s="36" t="s">
        <v>17</v>
      </c>
      <c r="D25" s="38" t="s">
        <v>89</v>
      </c>
      <c r="E25" s="77">
        <f>F25+I25</f>
        <v>315000</v>
      </c>
      <c r="F25" s="92">
        <v>315000</v>
      </c>
      <c r="G25" s="92">
        <v>0</v>
      </c>
      <c r="H25" s="92">
        <v>0</v>
      </c>
      <c r="I25" s="92">
        <v>0</v>
      </c>
      <c r="J25" s="77">
        <v>0</v>
      </c>
      <c r="K25" s="91"/>
      <c r="L25" s="92">
        <v>0</v>
      </c>
      <c r="M25" s="92">
        <v>0</v>
      </c>
      <c r="N25" s="92">
        <v>0</v>
      </c>
      <c r="O25" s="92">
        <v>0</v>
      </c>
      <c r="P25" s="77">
        <f t="shared" si="0"/>
        <v>315000</v>
      </c>
    </row>
    <row r="26" spans="1:16" s="54" customFormat="1" ht="4.5" customHeight="1">
      <c r="A26" s="35"/>
      <c r="B26" s="35"/>
      <c r="C26" s="36"/>
      <c r="D26" s="38"/>
      <c r="E26" s="77"/>
      <c r="F26" s="92"/>
      <c r="G26" s="92"/>
      <c r="H26" s="92"/>
      <c r="I26" s="92"/>
      <c r="J26" s="77"/>
      <c r="K26" s="91"/>
      <c r="L26" s="92"/>
      <c r="M26" s="92"/>
      <c r="N26" s="92"/>
      <c r="O26" s="92"/>
      <c r="P26" s="77"/>
    </row>
    <row r="27" spans="1:16" s="54" customFormat="1" ht="3.75" customHeight="1">
      <c r="A27" s="35"/>
      <c r="B27" s="35"/>
      <c r="C27" s="36"/>
      <c r="D27" s="39"/>
      <c r="E27" s="77"/>
      <c r="F27" s="92"/>
      <c r="G27" s="92"/>
      <c r="H27" s="92"/>
      <c r="I27" s="92"/>
      <c r="J27" s="77"/>
      <c r="K27" s="91"/>
      <c r="L27" s="92"/>
      <c r="M27" s="92"/>
      <c r="N27" s="92"/>
      <c r="O27" s="92"/>
      <c r="P27" s="77"/>
    </row>
    <row r="28" spans="1:16" s="54" customFormat="1" ht="22.5" customHeight="1">
      <c r="A28" s="35" t="s">
        <v>91</v>
      </c>
      <c r="B28" s="35">
        <v>4082</v>
      </c>
      <c r="C28" s="67" t="s">
        <v>19</v>
      </c>
      <c r="D28" s="38" t="s">
        <v>92</v>
      </c>
      <c r="E28" s="77">
        <f>F28</f>
        <v>30000</v>
      </c>
      <c r="F28" s="92">
        <v>30000</v>
      </c>
      <c r="G28" s="92"/>
      <c r="H28" s="92"/>
      <c r="I28" s="92"/>
      <c r="J28" s="77"/>
      <c r="K28" s="91"/>
      <c r="L28" s="92"/>
      <c r="M28" s="92"/>
      <c r="N28" s="92"/>
      <c r="O28" s="92"/>
      <c r="P28" s="77">
        <f>E28+J28</f>
        <v>30000</v>
      </c>
    </row>
    <row r="29" spans="1:16" s="54" customFormat="1" ht="36.75" customHeight="1">
      <c r="A29" s="35" t="s">
        <v>111</v>
      </c>
      <c r="B29" s="35">
        <v>6013</v>
      </c>
      <c r="C29" s="36" t="s">
        <v>21</v>
      </c>
      <c r="D29" s="38" t="s">
        <v>112</v>
      </c>
      <c r="E29" s="77">
        <f>F29</f>
        <v>1808700</v>
      </c>
      <c r="F29" s="92">
        <f>375700+18000+15000+1400000</f>
        <v>1808700</v>
      </c>
      <c r="G29" s="92"/>
      <c r="H29" s="92"/>
      <c r="I29" s="92"/>
      <c r="J29" s="77">
        <f>L29+O29</f>
        <v>0</v>
      </c>
      <c r="K29" s="91"/>
      <c r="L29" s="91"/>
      <c r="M29" s="91"/>
      <c r="N29" s="91"/>
      <c r="O29" s="91"/>
      <c r="P29" s="77">
        <f>E29+J29</f>
        <v>1808700</v>
      </c>
    </row>
    <row r="30" spans="1:16" s="54" customFormat="1" ht="25.5">
      <c r="A30" s="35" t="s">
        <v>55</v>
      </c>
      <c r="B30" s="35" t="s">
        <v>56</v>
      </c>
      <c r="C30" s="36" t="s">
        <v>21</v>
      </c>
      <c r="D30" s="38" t="s">
        <v>57</v>
      </c>
      <c r="E30" s="77">
        <f>F30+I30</f>
        <v>11501333</v>
      </c>
      <c r="F30" s="92">
        <f>9693668+4758000-1058000-950000-950000+25000-25000-1400000+1407665</f>
        <v>11501333</v>
      </c>
      <c r="G30" s="92">
        <v>208000</v>
      </c>
      <c r="H30" s="92">
        <v>1209908</v>
      </c>
      <c r="I30" s="92">
        <v>0</v>
      </c>
      <c r="J30" s="77">
        <f>L30+O30</f>
        <v>360000</v>
      </c>
      <c r="K30" s="91">
        <f>210000-150000+300000</f>
        <v>360000</v>
      </c>
      <c r="L30" s="92"/>
      <c r="M30" s="92"/>
      <c r="N30" s="92"/>
      <c r="O30" s="92">
        <f>210000-150000+300000</f>
        <v>360000</v>
      </c>
      <c r="P30" s="77">
        <f t="shared" si="0"/>
        <v>11861333</v>
      </c>
    </row>
    <row r="31" spans="1:16" s="54" customFormat="1" ht="25.5">
      <c r="A31" s="35" t="s">
        <v>65</v>
      </c>
      <c r="B31" s="35" t="s">
        <v>66</v>
      </c>
      <c r="C31" s="36" t="s">
        <v>67</v>
      </c>
      <c r="D31" s="38" t="s">
        <v>68</v>
      </c>
      <c r="E31" s="77">
        <f>F31+I31</f>
        <v>10000</v>
      </c>
      <c r="F31" s="92">
        <v>10000</v>
      </c>
      <c r="G31" s="102"/>
      <c r="H31" s="102"/>
      <c r="I31" s="102"/>
      <c r="J31" s="77">
        <f>L31+O31</f>
        <v>0</v>
      </c>
      <c r="K31" s="91"/>
      <c r="L31" s="92"/>
      <c r="M31" s="92"/>
      <c r="N31" s="92"/>
      <c r="O31" s="92"/>
      <c r="P31" s="77">
        <f t="shared" si="0"/>
        <v>10000</v>
      </c>
    </row>
    <row r="32" spans="1:16" s="54" customFormat="1" ht="30.75" customHeight="1">
      <c r="A32" s="35" t="s">
        <v>140</v>
      </c>
      <c r="B32" s="35">
        <v>7130</v>
      </c>
      <c r="C32" s="15" t="s">
        <v>141</v>
      </c>
      <c r="D32" s="38" t="s">
        <v>142</v>
      </c>
      <c r="E32" s="77">
        <f>F32+I32</f>
        <v>149000</v>
      </c>
      <c r="F32" s="92">
        <v>149000</v>
      </c>
      <c r="G32" s="102"/>
      <c r="H32" s="102"/>
      <c r="I32" s="102"/>
      <c r="J32" s="77"/>
      <c r="K32" s="91"/>
      <c r="L32" s="92"/>
      <c r="M32" s="92"/>
      <c r="N32" s="92"/>
      <c r="O32" s="92"/>
      <c r="P32" s="77">
        <f t="shared" si="0"/>
        <v>149000</v>
      </c>
    </row>
    <row r="33" spans="1:16" s="54" customFormat="1" ht="39" customHeight="1">
      <c r="A33" s="35" t="s">
        <v>131</v>
      </c>
      <c r="B33" s="35">
        <v>7310</v>
      </c>
      <c r="C33" s="36" t="s">
        <v>58</v>
      </c>
      <c r="D33" s="38" t="s">
        <v>130</v>
      </c>
      <c r="E33" s="77"/>
      <c r="F33" s="92"/>
      <c r="G33" s="102"/>
      <c r="H33" s="102"/>
      <c r="I33" s="102"/>
      <c r="J33" s="77">
        <f>L33+O33</f>
        <v>150000</v>
      </c>
      <c r="K33" s="91">
        <v>150000</v>
      </c>
      <c r="L33" s="92"/>
      <c r="M33" s="92"/>
      <c r="N33" s="92"/>
      <c r="O33" s="92">
        <v>150000</v>
      </c>
      <c r="P33" s="77">
        <f t="shared" si="0"/>
        <v>150000</v>
      </c>
    </row>
    <row r="34" spans="1:16" s="54" customFormat="1" ht="39" customHeight="1">
      <c r="A34" s="35" t="s">
        <v>143</v>
      </c>
      <c r="B34" s="35" t="s">
        <v>144</v>
      </c>
      <c r="C34" s="36" t="s">
        <v>58</v>
      </c>
      <c r="D34" s="38" t="s">
        <v>145</v>
      </c>
      <c r="E34" s="77"/>
      <c r="F34" s="92"/>
      <c r="G34" s="102"/>
      <c r="H34" s="102"/>
      <c r="I34" s="102"/>
      <c r="J34" s="77">
        <f>L34+O34</f>
        <v>375319</v>
      </c>
      <c r="K34" s="91">
        <f>854704-479385</f>
        <v>375319</v>
      </c>
      <c r="L34" s="92"/>
      <c r="M34" s="92"/>
      <c r="N34" s="92"/>
      <c r="O34" s="92">
        <f>854704-479385</f>
        <v>375319</v>
      </c>
      <c r="P34" s="77">
        <f t="shared" si="0"/>
        <v>375319</v>
      </c>
    </row>
    <row r="35" spans="1:16" s="54" customFormat="1" ht="60" customHeight="1">
      <c r="A35" s="35" t="s">
        <v>146</v>
      </c>
      <c r="B35" s="35">
        <v>7361</v>
      </c>
      <c r="C35" s="36" t="s">
        <v>124</v>
      </c>
      <c r="D35" s="38" t="s">
        <v>147</v>
      </c>
      <c r="E35" s="77"/>
      <c r="F35" s="92"/>
      <c r="G35" s="102"/>
      <c r="H35" s="102"/>
      <c r="I35" s="102"/>
      <c r="J35" s="77">
        <f>L35+O35</f>
        <v>0</v>
      </c>
      <c r="K35" s="91">
        <f>933286-5006-928280</f>
        <v>0</v>
      </c>
      <c r="L35" s="92"/>
      <c r="M35" s="92"/>
      <c r="N35" s="92"/>
      <c r="O35" s="92">
        <f>933286-5006-928280</f>
        <v>0</v>
      </c>
      <c r="P35" s="77">
        <f t="shared" si="0"/>
        <v>0</v>
      </c>
    </row>
    <row r="36" spans="1:16" s="54" customFormat="1" ht="60" customHeight="1">
      <c r="A36" s="35" t="s">
        <v>148</v>
      </c>
      <c r="B36" s="35">
        <v>7363</v>
      </c>
      <c r="C36" s="36" t="s">
        <v>124</v>
      </c>
      <c r="D36" s="31" t="s">
        <v>149</v>
      </c>
      <c r="E36" s="77"/>
      <c r="F36" s="92"/>
      <c r="G36" s="102"/>
      <c r="H36" s="102"/>
      <c r="I36" s="102"/>
      <c r="J36" s="77">
        <f>L36+O36</f>
        <v>7339528.08</v>
      </c>
      <c r="K36" s="91">
        <v>7339528.08</v>
      </c>
      <c r="L36" s="92"/>
      <c r="M36" s="92"/>
      <c r="N36" s="92"/>
      <c r="O36" s="92">
        <v>7339528.08</v>
      </c>
      <c r="P36" s="77">
        <f t="shared" si="0"/>
        <v>7339528.08</v>
      </c>
    </row>
    <row r="37" spans="1:16" s="54" customFormat="1" ht="17.25" customHeight="1">
      <c r="A37" s="35"/>
      <c r="B37" s="35"/>
      <c r="C37" s="36"/>
      <c r="D37" s="38" t="s">
        <v>44</v>
      </c>
      <c r="E37" s="77"/>
      <c r="F37" s="92"/>
      <c r="G37" s="102"/>
      <c r="H37" s="102"/>
      <c r="I37" s="102"/>
      <c r="J37" s="77"/>
      <c r="K37" s="91"/>
      <c r="L37" s="92"/>
      <c r="M37" s="92"/>
      <c r="N37" s="92"/>
      <c r="O37" s="92"/>
      <c r="P37" s="77"/>
    </row>
    <row r="38" spans="1:16" s="54" customFormat="1" ht="96.75" customHeight="1">
      <c r="A38" s="35"/>
      <c r="B38" s="35"/>
      <c r="C38" s="36"/>
      <c r="D38" s="38" t="s">
        <v>150</v>
      </c>
      <c r="E38" s="77"/>
      <c r="F38" s="92"/>
      <c r="G38" s="102"/>
      <c r="H38" s="102"/>
      <c r="I38" s="102"/>
      <c r="J38" s="77">
        <f>L38+O38</f>
        <v>7339528.08</v>
      </c>
      <c r="K38" s="91">
        <v>7339528.08</v>
      </c>
      <c r="L38" s="92"/>
      <c r="M38" s="92"/>
      <c r="N38" s="92"/>
      <c r="O38" s="92">
        <f>K38</f>
        <v>7339528.08</v>
      </c>
      <c r="P38" s="77">
        <f t="shared" si="0"/>
        <v>7339528.08</v>
      </c>
    </row>
    <row r="39" spans="1:16" s="54" customFormat="1" ht="34.5" customHeight="1">
      <c r="A39" s="35" t="s">
        <v>123</v>
      </c>
      <c r="B39" s="87" t="s">
        <v>125</v>
      </c>
      <c r="C39" s="87" t="s">
        <v>124</v>
      </c>
      <c r="D39" s="38" t="s">
        <v>126</v>
      </c>
      <c r="E39" s="77">
        <f>F39+I39</f>
        <v>700000</v>
      </c>
      <c r="F39" s="92">
        <v>700000</v>
      </c>
      <c r="G39" s="92"/>
      <c r="H39" s="92"/>
      <c r="I39" s="92"/>
      <c r="J39" s="77"/>
      <c r="K39" s="91"/>
      <c r="L39" s="91"/>
      <c r="M39" s="91"/>
      <c r="N39" s="91"/>
      <c r="O39" s="91"/>
      <c r="P39" s="77">
        <f t="shared" si="0"/>
        <v>700000</v>
      </c>
    </row>
    <row r="40" spans="1:16" s="54" customFormat="1" ht="25.5">
      <c r="A40" s="35" t="s">
        <v>62</v>
      </c>
      <c r="B40" s="58">
        <v>8230</v>
      </c>
      <c r="C40" s="65" t="s">
        <v>63</v>
      </c>
      <c r="D40" s="86" t="s">
        <v>64</v>
      </c>
      <c r="E40" s="77">
        <f>F40+I40</f>
        <v>880829</v>
      </c>
      <c r="F40" s="92">
        <v>880829</v>
      </c>
      <c r="G40" s="92">
        <v>645100</v>
      </c>
      <c r="H40" s="92"/>
      <c r="I40" s="92"/>
      <c r="J40" s="77"/>
      <c r="K40" s="91"/>
      <c r="L40" s="92"/>
      <c r="M40" s="92"/>
      <c r="N40" s="92"/>
      <c r="O40" s="92"/>
      <c r="P40" s="77">
        <f t="shared" si="0"/>
        <v>880829</v>
      </c>
    </row>
    <row r="41" spans="1:16" s="54" customFormat="1" ht="12.75">
      <c r="A41" s="35"/>
      <c r="B41" s="58"/>
      <c r="C41" s="65"/>
      <c r="D41" s="85"/>
      <c r="E41" s="77"/>
      <c r="F41" s="92"/>
      <c r="G41" s="92"/>
      <c r="H41" s="92"/>
      <c r="I41" s="92"/>
      <c r="J41" s="103"/>
      <c r="K41" s="104"/>
      <c r="L41" s="92"/>
      <c r="M41" s="92"/>
      <c r="N41" s="92"/>
      <c r="O41" s="92"/>
      <c r="P41" s="77"/>
    </row>
    <row r="42" spans="1:16" s="54" customFormat="1" ht="25.5">
      <c r="A42" s="35" t="s">
        <v>71</v>
      </c>
      <c r="B42" s="58">
        <v>8340</v>
      </c>
      <c r="C42" s="65" t="s">
        <v>25</v>
      </c>
      <c r="D42" s="64" t="s">
        <v>72</v>
      </c>
      <c r="E42" s="77"/>
      <c r="F42" s="92"/>
      <c r="G42" s="92"/>
      <c r="H42" s="92"/>
      <c r="I42" s="92"/>
      <c r="J42" s="103">
        <f>L42+O42</f>
        <v>155000</v>
      </c>
      <c r="K42" s="104"/>
      <c r="L42" s="92">
        <v>155000</v>
      </c>
      <c r="M42" s="92"/>
      <c r="N42" s="92"/>
      <c r="O42" s="92"/>
      <c r="P42" s="77">
        <f t="shared" si="0"/>
        <v>155000</v>
      </c>
    </row>
    <row r="43" spans="1:16" s="54" customFormat="1" ht="12.75">
      <c r="A43" s="58" t="s">
        <v>59</v>
      </c>
      <c r="B43" s="58" t="s">
        <v>60</v>
      </c>
      <c r="C43" s="59" t="s">
        <v>22</v>
      </c>
      <c r="D43" s="60" t="s">
        <v>23</v>
      </c>
      <c r="E43" s="77">
        <v>45000</v>
      </c>
      <c r="F43" s="92">
        <v>0</v>
      </c>
      <c r="G43" s="92">
        <v>0</v>
      </c>
      <c r="H43" s="92">
        <v>0</v>
      </c>
      <c r="I43" s="92">
        <v>0</v>
      </c>
      <c r="J43" s="77">
        <v>0</v>
      </c>
      <c r="K43" s="91"/>
      <c r="L43" s="92">
        <v>0</v>
      </c>
      <c r="M43" s="92">
        <v>0</v>
      </c>
      <c r="N43" s="92">
        <v>0</v>
      </c>
      <c r="O43" s="92">
        <v>0</v>
      </c>
      <c r="P43" s="77">
        <f t="shared" si="0"/>
        <v>45000</v>
      </c>
    </row>
    <row r="44" spans="1:16" s="54" customFormat="1" ht="57.75" customHeight="1">
      <c r="A44" s="58" t="s">
        <v>61</v>
      </c>
      <c r="B44" s="58">
        <v>9410</v>
      </c>
      <c r="C44" s="36" t="s">
        <v>24</v>
      </c>
      <c r="D44" s="64" t="s">
        <v>120</v>
      </c>
      <c r="E44" s="77">
        <f>F44+I44</f>
        <v>4001200</v>
      </c>
      <c r="F44" s="92">
        <v>4001200</v>
      </c>
      <c r="G44" s="92"/>
      <c r="H44" s="92"/>
      <c r="I44" s="92"/>
      <c r="J44" s="77"/>
      <c r="K44" s="91"/>
      <c r="L44" s="92"/>
      <c r="M44" s="92"/>
      <c r="N44" s="92"/>
      <c r="O44" s="92"/>
      <c r="P44" s="77">
        <f t="shared" si="0"/>
        <v>4001200</v>
      </c>
    </row>
    <row r="45" spans="1:16" s="54" customFormat="1" ht="57.75" customHeight="1">
      <c r="A45" s="35" t="s">
        <v>151</v>
      </c>
      <c r="B45" s="35">
        <v>9420</v>
      </c>
      <c r="C45" s="36" t="s">
        <v>24</v>
      </c>
      <c r="D45" s="38" t="s">
        <v>152</v>
      </c>
      <c r="E45" s="77">
        <f>F45+I45</f>
        <v>304182.48</v>
      </c>
      <c r="F45" s="92">
        <v>304182.48</v>
      </c>
      <c r="G45" s="92"/>
      <c r="H45" s="92"/>
      <c r="I45" s="92"/>
      <c r="J45" s="77"/>
      <c r="K45" s="91"/>
      <c r="L45" s="92"/>
      <c r="M45" s="92"/>
      <c r="N45" s="92"/>
      <c r="O45" s="92"/>
      <c r="P45" s="77">
        <f t="shared" si="0"/>
        <v>304182.48</v>
      </c>
    </row>
    <row r="46" spans="1:16" s="54" customFormat="1" ht="33.75" customHeight="1">
      <c r="A46" s="35" t="s">
        <v>69</v>
      </c>
      <c r="B46" s="35">
        <v>9770</v>
      </c>
      <c r="C46" s="36" t="s">
        <v>24</v>
      </c>
      <c r="D46" s="38" t="s">
        <v>70</v>
      </c>
      <c r="E46" s="77">
        <f>F46+I46</f>
        <v>13949299</v>
      </c>
      <c r="F46" s="92">
        <f>F48+F49+F50+F51+F53+F55</f>
        <v>9989023</v>
      </c>
      <c r="G46" s="92">
        <f>G48+G49+G50+G51+G53</f>
        <v>0</v>
      </c>
      <c r="H46" s="92">
        <f>H48+H49+H50+H51+H53</f>
        <v>0</v>
      </c>
      <c r="I46" s="92">
        <f>I48+I49+I50+I51+I53+I54+I55</f>
        <v>3960276</v>
      </c>
      <c r="J46" s="77"/>
      <c r="K46" s="91"/>
      <c r="L46" s="92"/>
      <c r="M46" s="92"/>
      <c r="N46" s="92"/>
      <c r="O46" s="92"/>
      <c r="P46" s="77">
        <f t="shared" si="0"/>
        <v>13949299</v>
      </c>
    </row>
    <row r="47" spans="1:16" s="54" customFormat="1" ht="25.5" customHeight="1">
      <c r="A47" s="35"/>
      <c r="B47" s="35"/>
      <c r="C47" s="36"/>
      <c r="D47" s="38" t="s">
        <v>44</v>
      </c>
      <c r="E47" s="77"/>
      <c r="F47" s="92"/>
      <c r="G47" s="92"/>
      <c r="H47" s="92"/>
      <c r="I47" s="92"/>
      <c r="J47" s="77"/>
      <c r="K47" s="91"/>
      <c r="L47" s="92"/>
      <c r="M47" s="92"/>
      <c r="N47" s="92"/>
      <c r="O47" s="92"/>
      <c r="P47" s="77"/>
    </row>
    <row r="48" spans="1:16" s="54" customFormat="1" ht="114" customHeight="1">
      <c r="A48" s="35"/>
      <c r="B48" s="35"/>
      <c r="C48" s="36"/>
      <c r="D48" s="38" t="s">
        <v>107</v>
      </c>
      <c r="E48" s="77">
        <f aca="true" t="shared" si="1" ref="E48:E56">F48+I48</f>
        <v>5902608</v>
      </c>
      <c r="F48" s="92">
        <f>5161758+205850+20000+380000+80000+55000</f>
        <v>5902608</v>
      </c>
      <c r="G48" s="92"/>
      <c r="H48" s="92"/>
      <c r="I48" s="92"/>
      <c r="J48" s="77"/>
      <c r="K48" s="91"/>
      <c r="L48" s="92"/>
      <c r="M48" s="92"/>
      <c r="N48" s="92"/>
      <c r="O48" s="92"/>
      <c r="P48" s="77">
        <f t="shared" si="0"/>
        <v>5902608</v>
      </c>
    </row>
    <row r="49" spans="1:16" s="54" customFormat="1" ht="85.5" customHeight="1">
      <c r="A49" s="35"/>
      <c r="B49" s="35"/>
      <c r="C49" s="36"/>
      <c r="D49" s="38" t="s">
        <v>29</v>
      </c>
      <c r="E49" s="77">
        <f t="shared" si="1"/>
        <v>271800</v>
      </c>
      <c r="F49" s="92">
        <v>271800</v>
      </c>
      <c r="G49" s="92"/>
      <c r="H49" s="92"/>
      <c r="I49" s="92"/>
      <c r="J49" s="77"/>
      <c r="K49" s="91"/>
      <c r="L49" s="92"/>
      <c r="M49" s="92"/>
      <c r="N49" s="92"/>
      <c r="O49" s="92"/>
      <c r="P49" s="77">
        <f t="shared" si="0"/>
        <v>271800</v>
      </c>
    </row>
    <row r="50" spans="1:16" s="54" customFormat="1" ht="90" customHeight="1">
      <c r="A50" s="35"/>
      <c r="B50" s="35"/>
      <c r="C50" s="36"/>
      <c r="D50" s="38" t="s">
        <v>103</v>
      </c>
      <c r="E50" s="77">
        <f t="shared" si="1"/>
        <v>1857251</v>
      </c>
      <c r="F50" s="92">
        <f>1735017+122234</f>
        <v>1857251</v>
      </c>
      <c r="G50" s="92"/>
      <c r="H50" s="92"/>
      <c r="I50" s="92"/>
      <c r="J50" s="77"/>
      <c r="K50" s="91"/>
      <c r="L50" s="92"/>
      <c r="M50" s="92"/>
      <c r="N50" s="92"/>
      <c r="O50" s="92"/>
      <c r="P50" s="77">
        <f t="shared" si="0"/>
        <v>1857251</v>
      </c>
    </row>
    <row r="51" spans="1:16" s="54" customFormat="1" ht="101.25" customHeight="1">
      <c r="A51" s="35"/>
      <c r="B51" s="35"/>
      <c r="C51" s="36"/>
      <c r="D51" s="38" t="s">
        <v>119</v>
      </c>
      <c r="E51" s="77">
        <f t="shared" si="1"/>
        <v>4734500</v>
      </c>
      <c r="F51" s="92">
        <f>771500+31000+200000</f>
        <v>1002500</v>
      </c>
      <c r="G51" s="92"/>
      <c r="H51" s="92"/>
      <c r="I51" s="92">
        <f>492000+2300000+940000</f>
        <v>3732000</v>
      </c>
      <c r="J51" s="77"/>
      <c r="K51" s="91"/>
      <c r="L51" s="92"/>
      <c r="M51" s="92"/>
      <c r="N51" s="92"/>
      <c r="O51" s="92"/>
      <c r="P51" s="77">
        <f t="shared" si="0"/>
        <v>4734500</v>
      </c>
    </row>
    <row r="52" spans="1:16" s="54" customFormat="1" ht="6.75" customHeight="1" hidden="1">
      <c r="A52" s="35"/>
      <c r="B52" s="35"/>
      <c r="C52" s="36"/>
      <c r="D52" s="38"/>
      <c r="E52" s="77">
        <f t="shared" si="1"/>
        <v>0</v>
      </c>
      <c r="F52" s="102"/>
      <c r="G52" s="102"/>
      <c r="H52" s="102"/>
      <c r="I52" s="102"/>
      <c r="J52" s="105"/>
      <c r="K52" s="106"/>
      <c r="L52" s="102"/>
      <c r="M52" s="102"/>
      <c r="N52" s="102"/>
      <c r="O52" s="102"/>
      <c r="P52" s="77">
        <f t="shared" si="0"/>
        <v>0</v>
      </c>
    </row>
    <row r="53" spans="1:16" s="54" customFormat="1" ht="114" customHeight="1">
      <c r="A53" s="35"/>
      <c r="B53" s="35"/>
      <c r="C53" s="36"/>
      <c r="D53" s="38" t="s">
        <v>113</v>
      </c>
      <c r="E53" s="77">
        <f t="shared" si="1"/>
        <v>954864</v>
      </c>
      <c r="F53" s="92">
        <f>854864+100000</f>
        <v>954864</v>
      </c>
      <c r="G53" s="92"/>
      <c r="H53" s="92"/>
      <c r="I53" s="92"/>
      <c r="J53" s="105"/>
      <c r="K53" s="106"/>
      <c r="L53" s="102"/>
      <c r="M53" s="102"/>
      <c r="N53" s="102"/>
      <c r="O53" s="102"/>
      <c r="P53" s="77">
        <f t="shared" si="0"/>
        <v>954864</v>
      </c>
    </row>
    <row r="54" spans="1:16" s="54" customFormat="1" ht="74.25" customHeight="1">
      <c r="A54" s="35"/>
      <c r="B54" s="35"/>
      <c r="C54" s="36"/>
      <c r="D54" s="38" t="s">
        <v>168</v>
      </c>
      <c r="E54" s="77">
        <f t="shared" si="1"/>
        <v>28276</v>
      </c>
      <c r="F54" s="92"/>
      <c r="G54" s="92"/>
      <c r="H54" s="92"/>
      <c r="I54" s="92">
        <f>28276</f>
        <v>28276</v>
      </c>
      <c r="J54" s="105"/>
      <c r="K54" s="106"/>
      <c r="L54" s="102"/>
      <c r="M54" s="102"/>
      <c r="N54" s="102"/>
      <c r="O54" s="102"/>
      <c r="P54" s="77">
        <f t="shared" si="0"/>
        <v>28276</v>
      </c>
    </row>
    <row r="55" spans="1:16" s="54" customFormat="1" ht="66.75" customHeight="1">
      <c r="A55" s="35"/>
      <c r="B55" s="35"/>
      <c r="C55" s="36"/>
      <c r="D55" s="38" t="s">
        <v>164</v>
      </c>
      <c r="E55" s="77">
        <f t="shared" si="1"/>
        <v>200000</v>
      </c>
      <c r="F55" s="92"/>
      <c r="G55" s="92"/>
      <c r="H55" s="92"/>
      <c r="I55" s="92">
        <f>200000</f>
        <v>200000</v>
      </c>
      <c r="J55" s="105"/>
      <c r="K55" s="106"/>
      <c r="L55" s="102"/>
      <c r="M55" s="102"/>
      <c r="N55" s="102"/>
      <c r="O55" s="102"/>
      <c r="P55" s="77">
        <f t="shared" si="0"/>
        <v>200000</v>
      </c>
    </row>
    <row r="56" spans="1:16" s="54" customFormat="1" ht="92.25" customHeight="1">
      <c r="A56" s="35" t="s">
        <v>153</v>
      </c>
      <c r="B56" s="35">
        <v>9800</v>
      </c>
      <c r="C56" s="36" t="s">
        <v>24</v>
      </c>
      <c r="D56" s="38" t="s">
        <v>154</v>
      </c>
      <c r="E56" s="77">
        <f t="shared" si="1"/>
        <v>40000</v>
      </c>
      <c r="F56" s="92"/>
      <c r="G56" s="92"/>
      <c r="H56" s="92"/>
      <c r="I56" s="92">
        <v>40000</v>
      </c>
      <c r="J56" s="105"/>
      <c r="K56" s="106"/>
      <c r="L56" s="102"/>
      <c r="M56" s="102"/>
      <c r="N56" s="102"/>
      <c r="O56" s="102"/>
      <c r="P56" s="77">
        <f t="shared" si="0"/>
        <v>40000</v>
      </c>
    </row>
    <row r="57" spans="1:16" s="54" customFormat="1" ht="12.75">
      <c r="A57" s="41"/>
      <c r="B57" s="42" t="s">
        <v>26</v>
      </c>
      <c r="C57" s="43"/>
      <c r="D57" s="37" t="s">
        <v>37</v>
      </c>
      <c r="E57" s="77">
        <f>F57+I57+E43</f>
        <v>58734789.48</v>
      </c>
      <c r="F57" s="77">
        <f>F17+F19+F28+F29+F30+F31+F40+F42+F43+F44+F46+F39+F56+F45+F36+F35+F34+F33+F32+F18</f>
        <v>54689513.48</v>
      </c>
      <c r="G57" s="76">
        <f>G17+G19+G28+G29+G30+G31+G40+G42+G43+G44+G46+G39+G56+G45+G36+G35+G34+G33+G32++G18</f>
        <v>19170159</v>
      </c>
      <c r="H57" s="76">
        <f>H17+H19+H28+H29+H30+H31+H40+H42+H43+H44+H46+H39+H56+H45+H36+H35+H34+H33+H32++H18</f>
        <v>1777508</v>
      </c>
      <c r="I57" s="76">
        <f>I17+I19+I28+I29+I30+I31+I40+I42+I43+I44+I46+I39+I56+I45+I36+I35+I34+I33+I32++I18</f>
        <v>4000276</v>
      </c>
      <c r="J57" s="77">
        <f>L57+O57</f>
        <v>8441886.08</v>
      </c>
      <c r="K57" s="77">
        <f>K17+K19+K28+K29+K30+K31+K40+K42+K43+K44+K46+K39+K56+K45+K36+K35+K34+K33+K32+K18</f>
        <v>8281847.08</v>
      </c>
      <c r="L57" s="77">
        <f>L17+L19+L28+L29+L30+L31+L40+L42+L43+L44+L46+L39+L56+L45+L36+L35+L34+L33+L32+L18</f>
        <v>160039</v>
      </c>
      <c r="M57" s="77">
        <f>M17+M19+M28+M29+M30+M31+M40+M42+M43+M44+M46+M39+M56+M45+M36+M35+M34+M33+M32+M18</f>
        <v>0</v>
      </c>
      <c r="N57" s="77">
        <f>N17+N19+N28+N29+N30+N31+N40+N42+N43+N44+N46+N39+N56+N45+N36+N35+N34+N33+N32+N18</f>
        <v>0</v>
      </c>
      <c r="O57" s="77">
        <f>O17+O19+O28+O29+O30+O31+O40+O42+O43+O44+O46+O39+O56+O45+O36+O35+O34+O33+O32+O18</f>
        <v>8281847.08</v>
      </c>
      <c r="P57" s="77">
        <f>E57+J57</f>
        <v>67176675.56</v>
      </c>
    </row>
    <row r="58" spans="1:16" ht="39.75" customHeight="1">
      <c r="A58" s="14" t="s">
        <v>73</v>
      </c>
      <c r="B58" s="14"/>
      <c r="C58" s="15"/>
      <c r="D58" s="16" t="s">
        <v>35</v>
      </c>
      <c r="E58" s="52"/>
      <c r="F58" s="52"/>
      <c r="G58" s="52"/>
      <c r="H58" s="52"/>
      <c r="I58" s="52"/>
      <c r="J58" s="52"/>
      <c r="K58" s="71"/>
      <c r="L58" s="52"/>
      <c r="M58" s="52"/>
      <c r="N58" s="52"/>
      <c r="O58" s="52"/>
      <c r="P58" s="53"/>
    </row>
    <row r="59" spans="1:16" ht="38.25">
      <c r="A59" s="14" t="s">
        <v>74</v>
      </c>
      <c r="B59" s="14"/>
      <c r="C59" s="15"/>
      <c r="D59" s="16" t="s">
        <v>35</v>
      </c>
      <c r="E59" s="52"/>
      <c r="F59" s="52"/>
      <c r="G59" s="52"/>
      <c r="H59" s="52"/>
      <c r="I59" s="52"/>
      <c r="J59" s="52"/>
      <c r="K59" s="71"/>
      <c r="L59" s="52"/>
      <c r="M59" s="52"/>
      <c r="N59" s="52"/>
      <c r="O59" s="52"/>
      <c r="P59" s="53"/>
    </row>
    <row r="60" spans="1:16" s="54" customFormat="1" ht="67.5" customHeight="1">
      <c r="A60" s="14" t="s">
        <v>75</v>
      </c>
      <c r="B60" s="24" t="s">
        <v>49</v>
      </c>
      <c r="C60" s="15" t="s">
        <v>12</v>
      </c>
      <c r="D60" s="50" t="s">
        <v>76</v>
      </c>
      <c r="E60" s="100">
        <f>F60+I60</f>
        <v>969478</v>
      </c>
      <c r="F60" s="100">
        <v>969478</v>
      </c>
      <c r="G60" s="100">
        <v>779592</v>
      </c>
      <c r="H60" s="100">
        <v>0</v>
      </c>
      <c r="I60" s="100"/>
      <c r="J60" s="100">
        <f>L60+O60</f>
        <v>0</v>
      </c>
      <c r="K60" s="107"/>
      <c r="L60" s="100"/>
      <c r="M60" s="100"/>
      <c r="N60" s="100"/>
      <c r="O60" s="100"/>
      <c r="P60" s="100">
        <f aca="true" t="shared" si="2" ref="P60:P84">J60+E60</f>
        <v>969478</v>
      </c>
    </row>
    <row r="61" spans="1:16" s="54" customFormat="1" ht="19.5" customHeight="1">
      <c r="A61" s="14" t="s">
        <v>77</v>
      </c>
      <c r="B61" s="24"/>
      <c r="C61" s="17"/>
      <c r="D61" s="18" t="s">
        <v>31</v>
      </c>
      <c r="E61" s="100">
        <f>F61+I61</f>
        <v>106987204.17</v>
      </c>
      <c r="F61" s="100">
        <f>F62+F66+F75+F76+F77+F78+F80+F81</f>
        <v>106987204.17</v>
      </c>
      <c r="G61" s="100">
        <f>G62+G66+G75+G76+G77+G78+G80+G81</f>
        <v>74942364</v>
      </c>
      <c r="H61" s="100">
        <f>H62+H66+H75+H76+H77+H78+H80+H81</f>
        <v>7735813</v>
      </c>
      <c r="I61" s="100">
        <f>I62+I66+I75+I76+I77+I78+I80+I81</f>
        <v>0</v>
      </c>
      <c r="J61" s="100">
        <f>L61+O61</f>
        <v>4198298</v>
      </c>
      <c r="K61" s="100">
        <f>K62+K66+K75+K76+K77+K78+K80+K81</f>
        <v>1395524</v>
      </c>
      <c r="L61" s="100">
        <f>L62+L66+L75+L76+L77+L78+L80+L81</f>
        <v>2802774</v>
      </c>
      <c r="M61" s="100">
        <f>M62+M66+M75+M76+M77+M78+M80+M81</f>
        <v>0</v>
      </c>
      <c r="N61" s="100">
        <f>N62+N66+N75+N76+N77+N78+N80+N81</f>
        <v>0</v>
      </c>
      <c r="O61" s="100">
        <f>O62+O66+O75+O76+O77+O78+O80+O81</f>
        <v>1395524</v>
      </c>
      <c r="P61" s="100">
        <f t="shared" si="2"/>
        <v>111185502.17</v>
      </c>
    </row>
    <row r="62" spans="1:16" s="54" customFormat="1" ht="24.75" customHeight="1">
      <c r="A62" s="14" t="s">
        <v>78</v>
      </c>
      <c r="B62" s="24" t="s">
        <v>14</v>
      </c>
      <c r="C62" s="17" t="s">
        <v>13</v>
      </c>
      <c r="D62" s="19" t="s">
        <v>79</v>
      </c>
      <c r="E62" s="100">
        <f>F62+I62</f>
        <v>22526603.17</v>
      </c>
      <c r="F62" s="100">
        <f>22641356+36400+148995-60000-149410-90737.83</f>
        <v>22526603.17</v>
      </c>
      <c r="G62" s="100">
        <f>15023210+7592</f>
        <v>15030802</v>
      </c>
      <c r="H62" s="100">
        <v>1965947</v>
      </c>
      <c r="I62" s="100"/>
      <c r="J62" s="100">
        <f>L62+O62</f>
        <v>1320000</v>
      </c>
      <c r="K62" s="107">
        <f>20000+25000-25000</f>
        <v>20000</v>
      </c>
      <c r="L62" s="100">
        <v>1300000</v>
      </c>
      <c r="M62" s="100"/>
      <c r="N62" s="100"/>
      <c r="O62" s="100">
        <f>20000+25000-25000</f>
        <v>20000</v>
      </c>
      <c r="P62" s="100">
        <f>J62+E62</f>
        <v>23846603.17</v>
      </c>
    </row>
    <row r="63" spans="1:16" s="54" customFormat="1" ht="24.75" customHeight="1">
      <c r="A63" s="14"/>
      <c r="B63" s="24"/>
      <c r="C63" s="17"/>
      <c r="D63" s="19" t="s">
        <v>44</v>
      </c>
      <c r="E63" s="100"/>
      <c r="F63" s="100"/>
      <c r="G63" s="100"/>
      <c r="H63" s="100"/>
      <c r="I63" s="100"/>
      <c r="J63" s="100"/>
      <c r="K63" s="107"/>
      <c r="L63" s="100"/>
      <c r="M63" s="100"/>
      <c r="N63" s="100"/>
      <c r="O63" s="100"/>
      <c r="P63" s="100"/>
    </row>
    <row r="64" spans="1:16" s="54" customFormat="1" ht="75.75" customHeight="1">
      <c r="A64" s="14"/>
      <c r="B64" s="24"/>
      <c r="C64" s="17"/>
      <c r="D64" s="19" t="s">
        <v>108</v>
      </c>
      <c r="E64" s="100">
        <f>F64+I64</f>
        <v>44339</v>
      </c>
      <c r="F64" s="100">
        <v>44339</v>
      </c>
      <c r="G64" s="100">
        <v>17940</v>
      </c>
      <c r="H64" s="100"/>
      <c r="I64" s="100"/>
      <c r="J64" s="100"/>
      <c r="K64" s="107"/>
      <c r="L64" s="100"/>
      <c r="M64" s="100"/>
      <c r="N64" s="100"/>
      <c r="O64" s="100"/>
      <c r="P64" s="100">
        <f>J64+E64</f>
        <v>44339</v>
      </c>
    </row>
    <row r="65" spans="1:16" s="54" customFormat="1" ht="57" customHeight="1">
      <c r="A65" s="14"/>
      <c r="B65" s="24"/>
      <c r="C65" s="17"/>
      <c r="D65" s="19" t="s">
        <v>165</v>
      </c>
      <c r="E65" s="100">
        <f>F65</f>
        <v>9262.17</v>
      </c>
      <c r="F65" s="100">
        <f>9262.17</f>
        <v>9262.17</v>
      </c>
      <c r="G65" s="100">
        <f>7592</f>
        <v>7592</v>
      </c>
      <c r="H65" s="100"/>
      <c r="I65" s="100"/>
      <c r="J65" s="100"/>
      <c r="K65" s="107"/>
      <c r="L65" s="100"/>
      <c r="M65" s="100"/>
      <c r="N65" s="100"/>
      <c r="O65" s="100"/>
      <c r="P65" s="100">
        <f>J65+E65</f>
        <v>9262.17</v>
      </c>
    </row>
    <row r="66" spans="1:16" s="54" customFormat="1" ht="63" customHeight="1">
      <c r="A66" s="14" t="s">
        <v>80</v>
      </c>
      <c r="B66" s="24" t="s">
        <v>42</v>
      </c>
      <c r="C66" s="17" t="s">
        <v>43</v>
      </c>
      <c r="D66" s="19" t="s">
        <v>127</v>
      </c>
      <c r="E66" s="82">
        <f>F66+I66</f>
        <v>73631541</v>
      </c>
      <c r="F66" s="82">
        <f>69839250+815649+2171200+293673+314064+149410-78899-82172+20937+188429</f>
        <v>73631541</v>
      </c>
      <c r="G66" s="82">
        <f>51059005+180000+1805800+10844</f>
        <v>53055649</v>
      </c>
      <c r="H66" s="82">
        <v>5325230</v>
      </c>
      <c r="I66" s="82"/>
      <c r="J66" s="100">
        <f>L66+O66</f>
        <v>2852298</v>
      </c>
      <c r="K66" s="107">
        <f>284000+1050000-314064+296629+32959</f>
        <v>1349524</v>
      </c>
      <c r="L66" s="100">
        <f>1500000+2774</f>
        <v>1502774</v>
      </c>
      <c r="M66" s="100"/>
      <c r="N66" s="100"/>
      <c r="O66" s="100">
        <f>284000+1050000-314064+296629+32959</f>
        <v>1349524</v>
      </c>
      <c r="P66" s="100">
        <f>J66+E66</f>
        <v>76483839</v>
      </c>
    </row>
    <row r="67" spans="1:16" s="54" customFormat="1" ht="15" customHeight="1">
      <c r="A67" s="14"/>
      <c r="B67" s="24"/>
      <c r="C67" s="17"/>
      <c r="D67" s="19" t="s">
        <v>44</v>
      </c>
      <c r="E67" s="82"/>
      <c r="F67" s="108"/>
      <c r="G67" s="108"/>
      <c r="H67" s="108"/>
      <c r="I67" s="108"/>
      <c r="J67" s="109"/>
      <c r="K67" s="110"/>
      <c r="L67" s="109"/>
      <c r="M67" s="109"/>
      <c r="N67" s="109"/>
      <c r="O67" s="109"/>
      <c r="P67" s="109"/>
    </row>
    <row r="68" spans="1:16" s="54" customFormat="1" ht="33" customHeight="1">
      <c r="A68" s="14"/>
      <c r="B68" s="24"/>
      <c r="C68" s="17"/>
      <c r="D68" s="19" t="s">
        <v>45</v>
      </c>
      <c r="E68" s="82">
        <f aca="true" t="shared" si="3" ref="E68:E74">F68+I68</f>
        <v>50622500</v>
      </c>
      <c r="F68" s="82">
        <f>48401300+2221200</f>
        <v>50622500</v>
      </c>
      <c r="G68" s="82">
        <f>39673200+1805800</f>
        <v>41479000</v>
      </c>
      <c r="H68" s="82"/>
      <c r="I68" s="82"/>
      <c r="J68" s="100"/>
      <c r="K68" s="107"/>
      <c r="L68" s="100"/>
      <c r="M68" s="100"/>
      <c r="N68" s="100"/>
      <c r="O68" s="100"/>
      <c r="P68" s="100">
        <f t="shared" si="2"/>
        <v>50622500</v>
      </c>
    </row>
    <row r="69" spans="1:16" s="54" customFormat="1" ht="72.75" customHeight="1">
      <c r="A69" s="14"/>
      <c r="B69" s="24"/>
      <c r="C69" s="17"/>
      <c r="D69" s="19" t="s">
        <v>108</v>
      </c>
      <c r="E69" s="82">
        <f t="shared" si="3"/>
        <v>64654</v>
      </c>
      <c r="F69" s="82">
        <v>64654</v>
      </c>
      <c r="G69" s="82">
        <v>34500</v>
      </c>
      <c r="H69" s="82"/>
      <c r="I69" s="82"/>
      <c r="J69" s="100"/>
      <c r="K69" s="107"/>
      <c r="L69" s="100"/>
      <c r="M69" s="100"/>
      <c r="N69" s="100"/>
      <c r="O69" s="100"/>
      <c r="P69" s="100">
        <f t="shared" si="2"/>
        <v>64654</v>
      </c>
    </row>
    <row r="70" spans="1:16" s="54" customFormat="1" ht="71.25" customHeight="1">
      <c r="A70" s="14"/>
      <c r="B70" s="24"/>
      <c r="C70" s="17"/>
      <c r="D70" s="19" t="s">
        <v>48</v>
      </c>
      <c r="E70" s="82">
        <f t="shared" si="3"/>
        <v>4119800</v>
      </c>
      <c r="F70" s="82">
        <v>4119800</v>
      </c>
      <c r="G70" s="82">
        <v>3371400</v>
      </c>
      <c r="H70" s="82"/>
      <c r="I70" s="82"/>
      <c r="J70" s="100"/>
      <c r="K70" s="107"/>
      <c r="L70" s="100"/>
      <c r="M70" s="100"/>
      <c r="N70" s="100"/>
      <c r="O70" s="100"/>
      <c r="P70" s="100">
        <f t="shared" si="2"/>
        <v>4119800</v>
      </c>
    </row>
    <row r="71" spans="1:16" s="54" customFormat="1" ht="49.5" customHeight="1">
      <c r="A71" s="14"/>
      <c r="B71" s="24"/>
      <c r="C71" s="17"/>
      <c r="D71" s="19" t="s">
        <v>155</v>
      </c>
      <c r="E71" s="82">
        <f t="shared" si="3"/>
        <v>775449</v>
      </c>
      <c r="F71" s="82">
        <v>775449</v>
      </c>
      <c r="G71" s="82">
        <v>180000</v>
      </c>
      <c r="H71" s="82"/>
      <c r="I71" s="82"/>
      <c r="J71" s="100"/>
      <c r="K71" s="107"/>
      <c r="L71" s="100"/>
      <c r="M71" s="100"/>
      <c r="N71" s="100"/>
      <c r="O71" s="100"/>
      <c r="P71" s="100">
        <f t="shared" si="2"/>
        <v>775449</v>
      </c>
    </row>
    <row r="72" spans="1:16" s="54" customFormat="1" ht="58.5" customHeight="1">
      <c r="A72" s="14"/>
      <c r="B72" s="24"/>
      <c r="C72" s="17"/>
      <c r="D72" s="19" t="s">
        <v>163</v>
      </c>
      <c r="E72" s="82">
        <f t="shared" si="3"/>
        <v>607737</v>
      </c>
      <c r="F72" s="82">
        <f>293673+314064</f>
        <v>607737</v>
      </c>
      <c r="G72" s="82"/>
      <c r="H72" s="82"/>
      <c r="I72" s="82"/>
      <c r="J72" s="100">
        <f>L72+O72</f>
        <v>735936</v>
      </c>
      <c r="K72" s="107">
        <f>1050000-314064</f>
        <v>735936</v>
      </c>
      <c r="L72" s="100"/>
      <c r="M72" s="100"/>
      <c r="N72" s="100"/>
      <c r="O72" s="100">
        <f>1050000-314064</f>
        <v>735936</v>
      </c>
      <c r="P72" s="100">
        <f t="shared" si="2"/>
        <v>1343673</v>
      </c>
    </row>
    <row r="73" spans="1:16" s="54" customFormat="1" ht="65.25" customHeight="1">
      <c r="A73" s="14"/>
      <c r="B73" s="24"/>
      <c r="C73" s="17"/>
      <c r="D73" s="19" t="s">
        <v>165</v>
      </c>
      <c r="E73" s="82">
        <f t="shared" si="3"/>
        <v>21101</v>
      </c>
      <c r="F73" s="82">
        <v>21101</v>
      </c>
      <c r="G73" s="82">
        <v>10844</v>
      </c>
      <c r="H73" s="82"/>
      <c r="I73" s="82"/>
      <c r="J73" s="100"/>
      <c r="K73" s="107"/>
      <c r="L73" s="100"/>
      <c r="M73" s="100"/>
      <c r="N73" s="100"/>
      <c r="O73" s="100"/>
      <c r="P73" s="100">
        <f t="shared" si="2"/>
        <v>21101</v>
      </c>
    </row>
    <row r="74" spans="1:16" s="54" customFormat="1" ht="81.75" customHeight="1">
      <c r="A74" s="14"/>
      <c r="B74" s="24"/>
      <c r="C74" s="17"/>
      <c r="D74" s="19" t="s">
        <v>169</v>
      </c>
      <c r="E74" s="82">
        <f t="shared" si="3"/>
        <v>188429</v>
      </c>
      <c r="F74" s="82">
        <v>188429</v>
      </c>
      <c r="G74" s="82"/>
      <c r="H74" s="82"/>
      <c r="I74" s="82"/>
      <c r="J74" s="100">
        <f>L74+O74</f>
        <v>296629</v>
      </c>
      <c r="K74" s="107">
        <v>296629</v>
      </c>
      <c r="L74" s="100"/>
      <c r="M74" s="100"/>
      <c r="N74" s="100"/>
      <c r="O74" s="100">
        <v>296629</v>
      </c>
      <c r="P74" s="100">
        <f t="shared" si="2"/>
        <v>485058</v>
      </c>
    </row>
    <row r="75" spans="1:16" s="54" customFormat="1" ht="50.25" customHeight="1">
      <c r="A75" s="14" t="s">
        <v>81</v>
      </c>
      <c r="B75" s="24" t="s">
        <v>17</v>
      </c>
      <c r="C75" s="17" t="s">
        <v>46</v>
      </c>
      <c r="D75" s="19" t="s">
        <v>128</v>
      </c>
      <c r="E75" s="82">
        <f aca="true" t="shared" si="4" ref="E75:E86">F75+I75</f>
        <v>3615628</v>
      </c>
      <c r="F75" s="82">
        <v>3615628</v>
      </c>
      <c r="G75" s="82">
        <v>2561400</v>
      </c>
      <c r="H75" s="82">
        <v>257928</v>
      </c>
      <c r="I75" s="82"/>
      <c r="J75" s="100">
        <f>L75+O75</f>
        <v>0</v>
      </c>
      <c r="K75" s="107"/>
      <c r="L75" s="100"/>
      <c r="M75" s="100"/>
      <c r="N75" s="100"/>
      <c r="O75" s="100"/>
      <c r="P75" s="100">
        <f t="shared" si="2"/>
        <v>3615628</v>
      </c>
    </row>
    <row r="76" spans="1:16" s="54" customFormat="1" ht="29.25" customHeight="1">
      <c r="A76" s="14" t="s">
        <v>82</v>
      </c>
      <c r="B76" s="24" t="s">
        <v>83</v>
      </c>
      <c r="C76" s="17" t="s">
        <v>15</v>
      </c>
      <c r="D76" s="19" t="s">
        <v>129</v>
      </c>
      <c r="E76" s="82">
        <f t="shared" si="4"/>
        <v>790000</v>
      </c>
      <c r="F76" s="82">
        <f>826400-36400</f>
        <v>790000</v>
      </c>
      <c r="G76" s="82">
        <v>674900</v>
      </c>
      <c r="H76" s="82"/>
      <c r="I76" s="82"/>
      <c r="J76" s="100"/>
      <c r="K76" s="107"/>
      <c r="L76" s="100"/>
      <c r="M76" s="100"/>
      <c r="N76" s="100"/>
      <c r="O76" s="100"/>
      <c r="P76" s="100">
        <f t="shared" si="2"/>
        <v>790000</v>
      </c>
    </row>
    <row r="77" spans="1:16" s="54" customFormat="1" ht="12.75">
      <c r="A77" s="14"/>
      <c r="B77" s="24"/>
      <c r="C77" s="17"/>
      <c r="D77" s="19"/>
      <c r="E77" s="100"/>
      <c r="F77" s="100"/>
      <c r="G77" s="100"/>
      <c r="H77" s="100"/>
      <c r="I77" s="100"/>
      <c r="J77" s="100"/>
      <c r="K77" s="100"/>
      <c r="L77" s="100"/>
      <c r="M77" s="100"/>
      <c r="N77" s="100"/>
      <c r="O77" s="100"/>
      <c r="P77" s="100"/>
    </row>
    <row r="78" spans="1:16" s="54" customFormat="1" ht="25.5">
      <c r="A78" s="14" t="s">
        <v>93</v>
      </c>
      <c r="B78" s="24" t="s">
        <v>94</v>
      </c>
      <c r="C78" s="17" t="s">
        <v>15</v>
      </c>
      <c r="D78" s="19" t="s">
        <v>95</v>
      </c>
      <c r="E78" s="100">
        <f t="shared" si="4"/>
        <v>3165508</v>
      </c>
      <c r="F78" s="100">
        <v>3165508</v>
      </c>
      <c r="G78" s="100">
        <v>2476200</v>
      </c>
      <c r="H78" s="100">
        <v>64108</v>
      </c>
      <c r="I78" s="100"/>
      <c r="J78" s="100">
        <f>L78+O78</f>
        <v>26000</v>
      </c>
      <c r="K78" s="107">
        <v>26000</v>
      </c>
      <c r="L78" s="100"/>
      <c r="M78" s="100"/>
      <c r="N78" s="100"/>
      <c r="O78" s="100">
        <v>26000</v>
      </c>
      <c r="P78" s="100">
        <f t="shared" si="2"/>
        <v>3191508</v>
      </c>
    </row>
    <row r="79" spans="1:16" s="54" customFormat="1" ht="12.75">
      <c r="A79" s="14"/>
      <c r="B79" s="24"/>
      <c r="C79" s="17"/>
      <c r="D79" s="19"/>
      <c r="E79" s="100"/>
      <c r="F79" s="100"/>
      <c r="G79" s="100"/>
      <c r="H79" s="100"/>
      <c r="I79" s="100"/>
      <c r="J79" s="100"/>
      <c r="K79" s="107"/>
      <c r="L79" s="100"/>
      <c r="M79" s="100"/>
      <c r="N79" s="100"/>
      <c r="O79" s="100"/>
      <c r="P79" s="100"/>
    </row>
    <row r="80" spans="1:16" s="54" customFormat="1" ht="12.75">
      <c r="A80" s="14" t="s">
        <v>96</v>
      </c>
      <c r="B80" s="24" t="s">
        <v>97</v>
      </c>
      <c r="C80" s="17" t="s">
        <v>15</v>
      </c>
      <c r="D80" s="19" t="s">
        <v>98</v>
      </c>
      <c r="E80" s="100">
        <f t="shared" si="4"/>
        <v>1593260</v>
      </c>
      <c r="F80" s="100">
        <f>1591260+22000-20000</f>
        <v>1593260</v>
      </c>
      <c r="G80" s="100"/>
      <c r="H80" s="100"/>
      <c r="I80" s="100"/>
      <c r="J80" s="100"/>
      <c r="K80" s="107"/>
      <c r="L80" s="100"/>
      <c r="M80" s="100"/>
      <c r="N80" s="100"/>
      <c r="O80" s="100"/>
      <c r="P80" s="100">
        <f t="shared" si="2"/>
        <v>1593260</v>
      </c>
    </row>
    <row r="81" spans="1:16" s="54" customFormat="1" ht="35.25" customHeight="1">
      <c r="A81" s="14" t="s">
        <v>121</v>
      </c>
      <c r="B81" s="27">
        <v>1170</v>
      </c>
      <c r="C81" s="17" t="s">
        <v>15</v>
      </c>
      <c r="D81" s="40" t="s">
        <v>122</v>
      </c>
      <c r="E81" s="100">
        <f t="shared" si="4"/>
        <v>1664664</v>
      </c>
      <c r="F81" s="100">
        <v>1664664</v>
      </c>
      <c r="G81" s="100">
        <v>1143413</v>
      </c>
      <c r="H81" s="100">
        <v>122600</v>
      </c>
      <c r="I81" s="100"/>
      <c r="J81" s="100">
        <f>L81+O81</f>
        <v>0</v>
      </c>
      <c r="K81" s="100"/>
      <c r="L81" s="100"/>
      <c r="M81" s="100"/>
      <c r="N81" s="100"/>
      <c r="O81" s="100"/>
      <c r="P81" s="100">
        <f t="shared" si="2"/>
        <v>1664664</v>
      </c>
    </row>
    <row r="82" spans="1:16" s="54" customFormat="1" ht="18.75" customHeight="1">
      <c r="A82" s="44"/>
      <c r="B82" s="27"/>
      <c r="C82" s="51"/>
      <c r="D82" s="19" t="s">
        <v>44</v>
      </c>
      <c r="E82" s="100"/>
      <c r="F82" s="100"/>
      <c r="G82" s="100"/>
      <c r="H82" s="100"/>
      <c r="I82" s="100"/>
      <c r="J82" s="100"/>
      <c r="K82" s="100"/>
      <c r="L82" s="100"/>
      <c r="M82" s="100"/>
      <c r="N82" s="100"/>
      <c r="O82" s="100"/>
      <c r="P82" s="100"/>
    </row>
    <row r="83" spans="1:16" s="54" customFormat="1" ht="67.5" customHeight="1">
      <c r="A83" s="44"/>
      <c r="B83" s="27"/>
      <c r="C83" s="51"/>
      <c r="D83" s="19" t="s">
        <v>109</v>
      </c>
      <c r="E83" s="100">
        <f t="shared" si="4"/>
        <v>1236371</v>
      </c>
      <c r="F83" s="82">
        <v>1236371</v>
      </c>
      <c r="G83" s="82">
        <v>1013420</v>
      </c>
      <c r="H83" s="82"/>
      <c r="I83" s="82"/>
      <c r="J83" s="100"/>
      <c r="K83" s="100"/>
      <c r="L83" s="100"/>
      <c r="M83" s="100"/>
      <c r="N83" s="100"/>
      <c r="O83" s="100"/>
      <c r="P83" s="100">
        <f t="shared" si="2"/>
        <v>1236371</v>
      </c>
    </row>
    <row r="84" spans="1:16" s="54" customFormat="1" ht="38.25">
      <c r="A84" s="44" t="s">
        <v>84</v>
      </c>
      <c r="B84" s="27">
        <v>5031</v>
      </c>
      <c r="C84" s="28" t="s">
        <v>20</v>
      </c>
      <c r="D84" s="31" t="s">
        <v>47</v>
      </c>
      <c r="E84" s="82">
        <f t="shared" si="4"/>
        <v>2668975</v>
      </c>
      <c r="F84" s="82">
        <f>2617475+51500</f>
        <v>2668975</v>
      </c>
      <c r="G84" s="82">
        <v>1962300</v>
      </c>
      <c r="H84" s="82">
        <v>170775</v>
      </c>
      <c r="I84" s="100"/>
      <c r="J84" s="100">
        <f aca="true" t="shared" si="5" ref="J84:J93">L84+O84</f>
        <v>2826</v>
      </c>
      <c r="K84" s="107"/>
      <c r="L84" s="100">
        <v>2826</v>
      </c>
      <c r="M84" s="100"/>
      <c r="N84" s="100"/>
      <c r="O84" s="100"/>
      <c r="P84" s="100">
        <f t="shared" si="2"/>
        <v>2671801</v>
      </c>
    </row>
    <row r="85" spans="1:16" s="54" customFormat="1" ht="9" customHeight="1">
      <c r="A85" s="44"/>
      <c r="B85" s="27"/>
      <c r="C85" s="51"/>
      <c r="D85" s="31"/>
      <c r="E85" s="100"/>
      <c r="F85" s="100"/>
      <c r="G85" s="100"/>
      <c r="H85" s="100"/>
      <c r="I85" s="100"/>
      <c r="J85" s="100"/>
      <c r="K85" s="107"/>
      <c r="L85" s="100"/>
      <c r="M85" s="100"/>
      <c r="N85" s="100"/>
      <c r="O85" s="100"/>
      <c r="P85" s="100"/>
    </row>
    <row r="86" spans="1:16" s="54" customFormat="1" ht="72" customHeight="1">
      <c r="A86" s="44" t="s">
        <v>85</v>
      </c>
      <c r="B86" s="27">
        <v>5061</v>
      </c>
      <c r="C86" s="28" t="s">
        <v>20</v>
      </c>
      <c r="D86" s="31" t="s">
        <v>27</v>
      </c>
      <c r="E86" s="100">
        <f t="shared" si="4"/>
        <v>250000</v>
      </c>
      <c r="F86" s="100">
        <v>250000</v>
      </c>
      <c r="G86" s="100"/>
      <c r="H86" s="100"/>
      <c r="I86" s="100"/>
      <c r="J86" s="100">
        <f t="shared" si="5"/>
        <v>0</v>
      </c>
      <c r="K86" s="107"/>
      <c r="L86" s="100"/>
      <c r="M86" s="100"/>
      <c r="N86" s="100"/>
      <c r="O86" s="100"/>
      <c r="P86" s="100">
        <f>J86+E86</f>
        <v>250000</v>
      </c>
    </row>
    <row r="87" spans="1:16" s="54" customFormat="1" ht="18.75" customHeight="1">
      <c r="A87" s="44"/>
      <c r="B87" s="27"/>
      <c r="C87" s="28"/>
      <c r="D87" s="38"/>
      <c r="E87" s="100"/>
      <c r="F87" s="109"/>
      <c r="G87" s="109"/>
      <c r="H87" s="109"/>
      <c r="I87" s="109"/>
      <c r="J87" s="100"/>
      <c r="K87" s="100"/>
      <c r="L87" s="100"/>
      <c r="M87" s="100"/>
      <c r="N87" s="100"/>
      <c r="O87" s="100"/>
      <c r="P87" s="100"/>
    </row>
    <row r="88" spans="1:16" s="54" customFormat="1" ht="15" customHeight="1">
      <c r="A88" s="44"/>
      <c r="B88" s="27"/>
      <c r="C88" s="28"/>
      <c r="D88" s="38"/>
      <c r="E88" s="100"/>
      <c r="F88" s="109"/>
      <c r="G88" s="109"/>
      <c r="H88" s="109"/>
      <c r="I88" s="109"/>
      <c r="J88" s="100"/>
      <c r="K88" s="100"/>
      <c r="L88" s="100"/>
      <c r="M88" s="100"/>
      <c r="N88" s="100"/>
      <c r="O88" s="100"/>
      <c r="P88" s="100"/>
    </row>
    <row r="89" spans="1:16" s="54" customFormat="1" ht="18" customHeight="1">
      <c r="A89" s="44" t="s">
        <v>99</v>
      </c>
      <c r="B89" s="27">
        <v>7321</v>
      </c>
      <c r="C89" s="28" t="s">
        <v>58</v>
      </c>
      <c r="D89" s="31" t="s">
        <v>100</v>
      </c>
      <c r="E89" s="100"/>
      <c r="F89" s="109"/>
      <c r="G89" s="109"/>
      <c r="H89" s="109"/>
      <c r="I89" s="109"/>
      <c r="J89" s="100">
        <f t="shared" si="5"/>
        <v>1642551</v>
      </c>
      <c r="K89" s="100">
        <f>95000+5006+277145</f>
        <v>377151</v>
      </c>
      <c r="L89" s="100"/>
      <c r="M89" s="100"/>
      <c r="N89" s="100"/>
      <c r="O89" s="100">
        <f>95000+5006+874586+277145+390814</f>
        <v>1642551</v>
      </c>
      <c r="P89" s="100">
        <f>J89+E89</f>
        <v>1642551</v>
      </c>
    </row>
    <row r="90" spans="1:16" s="54" customFormat="1" ht="18" customHeight="1">
      <c r="A90" s="44"/>
      <c r="B90" s="27"/>
      <c r="C90" s="28"/>
      <c r="D90" s="19" t="s">
        <v>44</v>
      </c>
      <c r="E90" s="100"/>
      <c r="F90" s="109"/>
      <c r="G90" s="109"/>
      <c r="H90" s="109"/>
      <c r="I90" s="109"/>
      <c r="J90" s="100"/>
      <c r="K90" s="100"/>
      <c r="L90" s="100"/>
      <c r="M90" s="100"/>
      <c r="N90" s="100"/>
      <c r="O90" s="100"/>
      <c r="P90" s="100"/>
    </row>
    <row r="91" spans="1:16" s="54" customFormat="1" ht="57.75" customHeight="1">
      <c r="A91" s="44"/>
      <c r="B91" s="27"/>
      <c r="C91" s="28"/>
      <c r="D91" s="31" t="s">
        <v>166</v>
      </c>
      <c r="E91" s="100"/>
      <c r="F91" s="109"/>
      <c r="G91" s="109"/>
      <c r="H91" s="109"/>
      <c r="I91" s="109"/>
      <c r="J91" s="100">
        <f>L91+O91</f>
        <v>277145</v>
      </c>
      <c r="K91" s="100">
        <v>277145</v>
      </c>
      <c r="L91" s="100"/>
      <c r="M91" s="100"/>
      <c r="N91" s="100"/>
      <c r="O91" s="100">
        <v>277145</v>
      </c>
      <c r="P91" s="100">
        <f>J91+E91</f>
        <v>277145</v>
      </c>
    </row>
    <row r="92" spans="1:16" s="54" customFormat="1" ht="33.75" customHeight="1">
      <c r="A92" s="44" t="s">
        <v>158</v>
      </c>
      <c r="B92" s="27">
        <v>7325</v>
      </c>
      <c r="C92" s="28" t="s">
        <v>58</v>
      </c>
      <c r="D92" s="31" t="s">
        <v>159</v>
      </c>
      <c r="E92" s="100"/>
      <c r="F92" s="109"/>
      <c r="G92" s="109"/>
      <c r="H92" s="109"/>
      <c r="I92" s="109"/>
      <c r="J92" s="100">
        <f t="shared" si="5"/>
        <v>0</v>
      </c>
      <c r="K92" s="107"/>
      <c r="L92" s="100"/>
      <c r="M92" s="100"/>
      <c r="N92" s="100"/>
      <c r="O92" s="100"/>
      <c r="P92" s="100">
        <f>J92+E92</f>
        <v>0</v>
      </c>
    </row>
    <row r="93" spans="1:16" s="54" customFormat="1" ht="12.75">
      <c r="A93" s="20"/>
      <c r="B93" s="20"/>
      <c r="C93" s="21"/>
      <c r="D93" s="66" t="s">
        <v>37</v>
      </c>
      <c r="E93" s="81">
        <f>F93+I93</f>
        <v>110875657.17</v>
      </c>
      <c r="F93" s="81">
        <f>F61+F60+F87+F84+F86+F92</f>
        <v>110875657.17</v>
      </c>
      <c r="G93" s="81">
        <f>G61+G60+G87+G84+G86+G92</f>
        <v>77684256</v>
      </c>
      <c r="H93" s="81">
        <f>H61+H60+H87+H84+H86+H92</f>
        <v>7906588</v>
      </c>
      <c r="I93" s="81">
        <f>I61+I60+I87+I84+I86+I92</f>
        <v>0</v>
      </c>
      <c r="J93" s="81">
        <f t="shared" si="5"/>
        <v>5843675</v>
      </c>
      <c r="K93" s="81">
        <f>K61+K60+K87+K84+K86+K92+K89</f>
        <v>1772675</v>
      </c>
      <c r="L93" s="81">
        <f>L61+L60+L87+L84+L86+L92+L89</f>
        <v>2805600</v>
      </c>
      <c r="M93" s="81">
        <f>M61+M60+M87+M84+M86+M92+M89</f>
        <v>0</v>
      </c>
      <c r="N93" s="81">
        <f>N61+N60+N87+N84+N86+N92+N89</f>
        <v>0</v>
      </c>
      <c r="O93" s="81">
        <f>O61+O60+O87+O84+O86+O92+O89</f>
        <v>3038075</v>
      </c>
      <c r="P93" s="81">
        <f>J93+E93</f>
        <v>116719332.17</v>
      </c>
    </row>
    <row r="94" spans="1:16" ht="55.5" customHeight="1">
      <c r="A94" s="33" t="s">
        <v>34</v>
      </c>
      <c r="B94" s="24"/>
      <c r="C94" s="22"/>
      <c r="D94" s="16" t="s">
        <v>39</v>
      </c>
      <c r="E94" s="111"/>
      <c r="F94" s="111"/>
      <c r="G94" s="111"/>
      <c r="H94" s="111"/>
      <c r="I94" s="111"/>
      <c r="J94" s="111"/>
      <c r="K94" s="112"/>
      <c r="L94" s="111"/>
      <c r="M94" s="111"/>
      <c r="N94" s="111"/>
      <c r="O94" s="111"/>
      <c r="P94" s="111"/>
    </row>
    <row r="95" spans="1:16" ht="50.25" customHeight="1">
      <c r="A95" s="33" t="s">
        <v>36</v>
      </c>
      <c r="B95" s="24"/>
      <c r="C95" s="15"/>
      <c r="D95" s="16" t="s">
        <v>39</v>
      </c>
      <c r="E95" s="111"/>
      <c r="F95" s="113"/>
      <c r="G95" s="109"/>
      <c r="H95" s="109"/>
      <c r="I95" s="109"/>
      <c r="J95" s="109"/>
      <c r="K95" s="110"/>
      <c r="L95" s="109"/>
      <c r="M95" s="109"/>
      <c r="N95" s="109"/>
      <c r="O95" s="109"/>
      <c r="P95" s="109"/>
    </row>
    <row r="96" spans="1:16" s="54" customFormat="1" ht="55.5" customHeight="1">
      <c r="A96" s="61" t="s">
        <v>86</v>
      </c>
      <c r="B96" s="62" t="s">
        <v>49</v>
      </c>
      <c r="C96" s="63" t="s">
        <v>12</v>
      </c>
      <c r="D96" s="50" t="s">
        <v>76</v>
      </c>
      <c r="E96" s="100">
        <f aca="true" t="shared" si="6" ref="E96:E103">F96+I96</f>
        <v>1328823</v>
      </c>
      <c r="F96" s="100">
        <v>1328823</v>
      </c>
      <c r="G96" s="100">
        <v>1032900</v>
      </c>
      <c r="H96" s="100">
        <v>29023</v>
      </c>
      <c r="I96" s="100"/>
      <c r="J96" s="100">
        <f>L96+O96</f>
        <v>7000</v>
      </c>
      <c r="K96" s="107">
        <v>7000</v>
      </c>
      <c r="L96" s="100"/>
      <c r="M96" s="100"/>
      <c r="N96" s="100"/>
      <c r="O96" s="100">
        <v>7000</v>
      </c>
      <c r="P96" s="100">
        <f aca="true" t="shared" si="7" ref="P96:P104">J96+E96</f>
        <v>1335823</v>
      </c>
    </row>
    <row r="97" spans="1:16" s="54" customFormat="1" ht="12.75">
      <c r="A97" s="61"/>
      <c r="B97" s="62"/>
      <c r="C97" s="63"/>
      <c r="D97" s="26"/>
      <c r="E97" s="100"/>
      <c r="F97" s="100"/>
      <c r="G97" s="100"/>
      <c r="H97" s="100"/>
      <c r="I97" s="100"/>
      <c r="J97" s="100"/>
      <c r="K97" s="100"/>
      <c r="L97" s="100"/>
      <c r="M97" s="100"/>
      <c r="N97" s="100"/>
      <c r="O97" s="100"/>
      <c r="P97" s="100"/>
    </row>
    <row r="98" spans="1:16" s="54" customFormat="1" ht="21" customHeight="1">
      <c r="A98" s="44">
        <v>1014040</v>
      </c>
      <c r="B98" s="27">
        <v>4040</v>
      </c>
      <c r="C98" s="17" t="s">
        <v>50</v>
      </c>
      <c r="D98" s="31" t="s">
        <v>87</v>
      </c>
      <c r="E98" s="100">
        <f t="shared" si="6"/>
        <v>726243</v>
      </c>
      <c r="F98" s="100">
        <v>726243</v>
      </c>
      <c r="G98" s="100">
        <v>501538</v>
      </c>
      <c r="H98" s="100">
        <f>73415-900</f>
        <v>72515</v>
      </c>
      <c r="I98" s="100"/>
      <c r="J98" s="100">
        <f>O98+L98</f>
        <v>12000</v>
      </c>
      <c r="K98" s="107">
        <v>12000</v>
      </c>
      <c r="L98" s="100"/>
      <c r="M98" s="100"/>
      <c r="N98" s="100"/>
      <c r="O98" s="100">
        <v>12000</v>
      </c>
      <c r="P98" s="100">
        <f t="shared" si="7"/>
        <v>738243</v>
      </c>
    </row>
    <row r="99" spans="1:16" s="54" customFormat="1" ht="44.25" customHeight="1">
      <c r="A99" s="44">
        <v>1014060</v>
      </c>
      <c r="B99" s="27">
        <v>4060</v>
      </c>
      <c r="C99" s="17" t="s">
        <v>18</v>
      </c>
      <c r="D99" s="31" t="s">
        <v>88</v>
      </c>
      <c r="E99" s="100">
        <f t="shared" si="6"/>
        <v>5638315</v>
      </c>
      <c r="F99" s="100">
        <f>5570137+129678-61500</f>
        <v>5638315</v>
      </c>
      <c r="G99" s="100">
        <v>3883500</v>
      </c>
      <c r="H99" s="100">
        <f>485136-4735-36500</f>
        <v>443901</v>
      </c>
      <c r="I99" s="100"/>
      <c r="J99" s="100">
        <f>L99+O99</f>
        <v>56300</v>
      </c>
      <c r="K99" s="107">
        <v>50000</v>
      </c>
      <c r="L99" s="100">
        <v>6300</v>
      </c>
      <c r="M99" s="100"/>
      <c r="N99" s="100"/>
      <c r="O99" s="100">
        <v>50000</v>
      </c>
      <c r="P99" s="100">
        <f t="shared" si="7"/>
        <v>5694615</v>
      </c>
    </row>
    <row r="100" spans="1:16" s="54" customFormat="1" ht="12.75">
      <c r="A100" s="44"/>
      <c r="B100" s="27"/>
      <c r="C100" s="17"/>
      <c r="D100" s="31"/>
      <c r="E100" s="100"/>
      <c r="F100" s="100"/>
      <c r="G100" s="100"/>
      <c r="H100" s="100"/>
      <c r="I100" s="100"/>
      <c r="J100" s="100"/>
      <c r="K100" s="107"/>
      <c r="L100" s="100"/>
      <c r="M100" s="100"/>
      <c r="N100" s="100"/>
      <c r="O100" s="100"/>
      <c r="P100" s="100"/>
    </row>
    <row r="101" spans="1:16" s="54" customFormat="1" ht="12.75">
      <c r="A101" s="44">
        <v>1014082</v>
      </c>
      <c r="B101" s="27">
        <v>4082</v>
      </c>
      <c r="C101" s="17" t="s">
        <v>19</v>
      </c>
      <c r="D101" s="31" t="s">
        <v>92</v>
      </c>
      <c r="E101" s="100">
        <f t="shared" si="6"/>
        <v>450000</v>
      </c>
      <c r="F101" s="100">
        <v>450000</v>
      </c>
      <c r="G101" s="100"/>
      <c r="H101" s="100"/>
      <c r="I101" s="100"/>
      <c r="J101" s="100"/>
      <c r="K101" s="107"/>
      <c r="L101" s="100"/>
      <c r="M101" s="100"/>
      <c r="N101" s="100"/>
      <c r="O101" s="100"/>
      <c r="P101" s="100">
        <f t="shared" si="7"/>
        <v>450000</v>
      </c>
    </row>
    <row r="102" spans="1:16" s="54" customFormat="1" ht="12.75">
      <c r="A102" s="44"/>
      <c r="B102" s="27"/>
      <c r="C102" s="17"/>
      <c r="D102" s="31"/>
      <c r="E102" s="100"/>
      <c r="F102" s="100"/>
      <c r="G102" s="100"/>
      <c r="H102" s="100"/>
      <c r="I102" s="100"/>
      <c r="J102" s="100"/>
      <c r="K102" s="100"/>
      <c r="L102" s="100"/>
      <c r="M102" s="100"/>
      <c r="N102" s="100"/>
      <c r="O102" s="100"/>
      <c r="P102" s="100"/>
    </row>
    <row r="103" spans="1:16" s="54" customFormat="1" ht="27" customHeight="1">
      <c r="A103" s="44">
        <v>1011100</v>
      </c>
      <c r="B103" s="27">
        <v>1100</v>
      </c>
      <c r="C103" s="17" t="s">
        <v>46</v>
      </c>
      <c r="D103" s="31" t="s">
        <v>132</v>
      </c>
      <c r="E103" s="100">
        <f t="shared" si="6"/>
        <v>2151892</v>
      </c>
      <c r="F103" s="100">
        <f>2145292+6600</f>
        <v>2151892</v>
      </c>
      <c r="G103" s="100">
        <v>1697300</v>
      </c>
      <c r="H103" s="100">
        <f>45286-1000</f>
        <v>44286</v>
      </c>
      <c r="I103" s="100"/>
      <c r="J103" s="100">
        <f>O103+L103</f>
        <v>144700</v>
      </c>
      <c r="K103" s="107"/>
      <c r="L103" s="100">
        <v>144700</v>
      </c>
      <c r="M103" s="100">
        <v>113350</v>
      </c>
      <c r="N103" s="100"/>
      <c r="O103" s="100"/>
      <c r="P103" s="100">
        <f t="shared" si="7"/>
        <v>2296592</v>
      </c>
    </row>
    <row r="104" spans="1:16" s="54" customFormat="1" ht="27" customHeight="1">
      <c r="A104" s="44">
        <v>1017324</v>
      </c>
      <c r="B104" s="27">
        <v>7324</v>
      </c>
      <c r="C104" s="17" t="s">
        <v>58</v>
      </c>
      <c r="D104" s="31" t="s">
        <v>167</v>
      </c>
      <c r="E104" s="100"/>
      <c r="F104" s="100"/>
      <c r="G104" s="100"/>
      <c r="H104" s="100"/>
      <c r="I104" s="100"/>
      <c r="J104" s="100">
        <f>L104+O104</f>
        <v>27400</v>
      </c>
      <c r="K104" s="107">
        <v>27400</v>
      </c>
      <c r="L104" s="100"/>
      <c r="M104" s="100"/>
      <c r="N104" s="100"/>
      <c r="O104" s="100">
        <v>27400</v>
      </c>
      <c r="P104" s="100">
        <f t="shared" si="7"/>
        <v>27400</v>
      </c>
    </row>
    <row r="105" spans="1:16" s="54" customFormat="1" ht="12.75">
      <c r="A105" s="55"/>
      <c r="B105" s="55"/>
      <c r="C105" s="56"/>
      <c r="D105" s="45" t="s">
        <v>37</v>
      </c>
      <c r="E105" s="81">
        <f>F105+I105</f>
        <v>10295273</v>
      </c>
      <c r="F105" s="81">
        <f>F96+F97+F103+F98+F99+F101</f>
        <v>10295273</v>
      </c>
      <c r="G105" s="81">
        <f>G96+G97+G103+G98+G99+G101</f>
        <v>7115238</v>
      </c>
      <c r="H105" s="81">
        <f>H96+H97+H103+H98+H99+H101</f>
        <v>589725</v>
      </c>
      <c r="I105" s="81">
        <f>I96+I97+I103+I98+I99+I101</f>
        <v>0</v>
      </c>
      <c r="J105" s="81">
        <f>L105+O105</f>
        <v>247400</v>
      </c>
      <c r="K105" s="81">
        <f>K96+K97+K103+K98+K99+K101+K104</f>
        <v>96400</v>
      </c>
      <c r="L105" s="81">
        <f>L96+L97+L103+L98+L99+L101+L104</f>
        <v>151000</v>
      </c>
      <c r="M105" s="81">
        <f>M96+M97+M103+M98+M99+M101+M104</f>
        <v>113350</v>
      </c>
      <c r="N105" s="81">
        <f>N96+N97+N103+N98+N99+N101+N104</f>
        <v>0</v>
      </c>
      <c r="O105" s="81">
        <f>O96+O97+O103+O98+O99+O101+O104</f>
        <v>96400</v>
      </c>
      <c r="P105" s="81">
        <f>E105+J105</f>
        <v>10542673</v>
      </c>
    </row>
    <row r="106" spans="1:27" s="54" customFormat="1" ht="12.75">
      <c r="A106" s="46"/>
      <c r="B106" s="47"/>
      <c r="C106" s="48"/>
      <c r="D106" s="48" t="s">
        <v>2</v>
      </c>
      <c r="E106" s="80">
        <f>F106+I106+E43</f>
        <v>179905719.65</v>
      </c>
      <c r="F106" s="80">
        <f>F93+F105+F57</f>
        <v>175860443.65</v>
      </c>
      <c r="G106" s="80">
        <f>G93+G105+G57</f>
        <v>103969653</v>
      </c>
      <c r="H106" s="80">
        <f>H93+H105+H57</f>
        <v>10273821</v>
      </c>
      <c r="I106" s="80">
        <f>I93+I105+I57</f>
        <v>4000276</v>
      </c>
      <c r="J106" s="80">
        <f>L106+O106</f>
        <v>14532961.08</v>
      </c>
      <c r="K106" s="80">
        <f>K93+K105+K57</f>
        <v>10150922.08</v>
      </c>
      <c r="L106" s="80">
        <f>L93+L105+L57</f>
        <v>3116639</v>
      </c>
      <c r="M106" s="80">
        <f>M93+M105+M57</f>
        <v>113350</v>
      </c>
      <c r="N106" s="80">
        <f>N93+N105+N57</f>
        <v>0</v>
      </c>
      <c r="O106" s="80">
        <f>O93+O105+O57</f>
        <v>11416322.08</v>
      </c>
      <c r="P106" s="81">
        <f>E106+J106</f>
        <v>194438680.73000002</v>
      </c>
      <c r="Q106" s="93"/>
      <c r="R106" s="93"/>
      <c r="S106" s="93"/>
      <c r="T106" s="93"/>
      <c r="U106" s="93"/>
      <c r="V106" s="93"/>
      <c r="W106" s="93"/>
      <c r="X106" s="93"/>
      <c r="Y106" s="93"/>
      <c r="Z106" s="93"/>
      <c r="AA106" s="94"/>
    </row>
    <row r="107" spans="1:16" s="54" customFormat="1" ht="57" customHeight="1">
      <c r="A107" s="57"/>
      <c r="B107" s="57"/>
      <c r="C107" s="57"/>
      <c r="D107" s="49" t="s">
        <v>30</v>
      </c>
      <c r="E107" s="79">
        <f>F107+I107</f>
        <v>57875224.65</v>
      </c>
      <c r="F107" s="79">
        <f>F44+F64+F68+F69+F83+F45+F72+F38+F71+F74+F91+F73+F65</f>
        <v>57875224.65</v>
      </c>
      <c r="G107" s="79">
        <f aca="true" t="shared" si="8" ref="G107:O107">G44+G64+G68+G69+G83+G45+G72+G38+G71+G74+G91+G73+G65</f>
        <v>42743296</v>
      </c>
      <c r="H107" s="79">
        <f t="shared" si="8"/>
        <v>0</v>
      </c>
      <c r="I107" s="79">
        <f t="shared" si="8"/>
        <v>0</v>
      </c>
      <c r="J107" s="79">
        <f t="shared" si="8"/>
        <v>8649238.08</v>
      </c>
      <c r="K107" s="79">
        <f t="shared" si="8"/>
        <v>8649238.08</v>
      </c>
      <c r="L107" s="79">
        <f t="shared" si="8"/>
        <v>0</v>
      </c>
      <c r="M107" s="79">
        <f t="shared" si="8"/>
        <v>0</v>
      </c>
      <c r="N107" s="79">
        <f t="shared" si="8"/>
        <v>0</v>
      </c>
      <c r="O107" s="79">
        <f t="shared" si="8"/>
        <v>8649238.08</v>
      </c>
      <c r="P107" s="78">
        <f>E107+J107</f>
        <v>66524462.73</v>
      </c>
    </row>
    <row r="108" spans="1:16" s="54" customFormat="1" ht="18" customHeight="1">
      <c r="A108" s="57"/>
      <c r="B108" s="57"/>
      <c r="C108" s="57"/>
      <c r="D108" s="49" t="s">
        <v>156</v>
      </c>
      <c r="E108" s="79"/>
      <c r="F108" s="79"/>
      <c r="G108" s="79"/>
      <c r="H108" s="79"/>
      <c r="I108" s="79"/>
      <c r="J108" s="79"/>
      <c r="K108" s="79"/>
      <c r="L108" s="79"/>
      <c r="M108" s="79"/>
      <c r="N108" s="79"/>
      <c r="O108" s="79"/>
      <c r="P108" s="95"/>
    </row>
    <row r="109" spans="1:16" s="54" customFormat="1" ht="83.25" customHeight="1">
      <c r="A109" s="57"/>
      <c r="B109" s="57"/>
      <c r="C109" s="57"/>
      <c r="D109" s="49" t="s">
        <v>157</v>
      </c>
      <c r="E109" s="79">
        <f>F109+I109</f>
        <v>1109994.65</v>
      </c>
      <c r="F109" s="114">
        <f>1079631.48+30363.17</f>
        <v>1109994.65</v>
      </c>
      <c r="G109" s="79">
        <f>180000+18436</f>
        <v>198436</v>
      </c>
      <c r="H109" s="79"/>
      <c r="I109" s="79"/>
      <c r="J109" s="79">
        <f>L109+O109</f>
        <v>7616673.08</v>
      </c>
      <c r="K109" s="79">
        <f>7339528.08+277145</f>
        <v>7616673.08</v>
      </c>
      <c r="L109" s="79"/>
      <c r="M109" s="79"/>
      <c r="N109" s="79"/>
      <c r="O109" s="79">
        <f>7339528.08+277145</f>
        <v>7616673.08</v>
      </c>
      <c r="P109" s="78">
        <f>E109+J109</f>
        <v>8726667.73</v>
      </c>
    </row>
    <row r="110" spans="1:16" ht="33" customHeight="1">
      <c r="A110" s="101" t="s">
        <v>161</v>
      </c>
      <c r="B110" s="101"/>
      <c r="C110" s="101"/>
      <c r="D110" s="101"/>
      <c r="E110" s="23"/>
      <c r="F110" s="72"/>
      <c r="G110" s="72"/>
      <c r="H110" s="72"/>
      <c r="I110" s="73"/>
      <c r="J110" s="123" t="s">
        <v>162</v>
      </c>
      <c r="K110" s="123"/>
      <c r="L110" s="123"/>
      <c r="M110" s="123"/>
      <c r="N110" s="123"/>
      <c r="O110" s="72"/>
      <c r="P110" s="72"/>
    </row>
    <row r="111" spans="2:18" ht="15">
      <c r="B111" s="2"/>
      <c r="D111" s="32"/>
      <c r="F111" s="74"/>
      <c r="G111" s="74"/>
      <c r="H111" s="74"/>
      <c r="I111" s="13"/>
      <c r="J111" s="74"/>
      <c r="K111" s="75"/>
      <c r="L111" s="74"/>
      <c r="M111" s="74"/>
      <c r="N111" s="74"/>
      <c r="O111" s="74"/>
      <c r="P111" s="74"/>
      <c r="R111" s="68"/>
    </row>
    <row r="112" spans="5:16" ht="12.75">
      <c r="E112" s="12"/>
      <c r="F112" s="12"/>
      <c r="G112" s="12"/>
      <c r="H112" s="12"/>
      <c r="I112" s="12"/>
      <c r="J112" s="12"/>
      <c r="K112" s="12"/>
      <c r="L112" s="12"/>
      <c r="M112" s="12"/>
      <c r="N112" s="12"/>
      <c r="O112" s="12"/>
      <c r="P112" s="12"/>
    </row>
    <row r="114" spans="1:16" ht="12.75">
      <c r="A114" s="3"/>
      <c r="E114" s="12"/>
      <c r="F114" s="12"/>
      <c r="G114" s="12"/>
      <c r="H114" s="12"/>
      <c r="I114" s="12"/>
      <c r="J114" s="12"/>
      <c r="K114" s="12"/>
      <c r="L114" s="12"/>
      <c r="M114" s="12"/>
      <c r="N114" s="12"/>
      <c r="O114" s="12"/>
      <c r="P114" s="12"/>
    </row>
    <row r="115" spans="1:12" ht="12.75">
      <c r="A115" s="3"/>
      <c r="L115" s="12"/>
    </row>
    <row r="116" ht="12.75">
      <c r="A116" s="3"/>
    </row>
    <row r="117" ht="12.75">
      <c r="A117" s="3"/>
    </row>
    <row r="142" spans="3:8" ht="12.75">
      <c r="C142" s="96"/>
      <c r="D142" s="97"/>
      <c r="E142" s="97"/>
      <c r="F142" s="98"/>
      <c r="G142" s="99"/>
      <c r="H142" s="96"/>
    </row>
    <row r="143" spans="3:8" ht="12.75">
      <c r="C143" s="96"/>
      <c r="D143" s="96"/>
      <c r="E143" s="96"/>
      <c r="F143" s="96"/>
      <c r="G143" s="96"/>
      <c r="H143" s="96"/>
    </row>
  </sheetData>
  <sheetProtection/>
  <mergeCells count="25">
    <mergeCell ref="J110:N110"/>
    <mergeCell ref="B8:C8"/>
    <mergeCell ref="B9:C9"/>
    <mergeCell ref="F11:F13"/>
    <mergeCell ref="G11:H11"/>
    <mergeCell ref="D10:D13"/>
    <mergeCell ref="E10:I10"/>
    <mergeCell ref="E11:E13"/>
    <mergeCell ref="J11:J13"/>
    <mergeCell ref="O11:O13"/>
    <mergeCell ref="H12:H13"/>
    <mergeCell ref="I11:I13"/>
    <mergeCell ref="L11:L13"/>
    <mergeCell ref="M11:N11"/>
    <mergeCell ref="K11:K13"/>
    <mergeCell ref="A5:P5"/>
    <mergeCell ref="A6:P6"/>
    <mergeCell ref="A10:A13"/>
    <mergeCell ref="B10:B13"/>
    <mergeCell ref="C10:C13"/>
    <mergeCell ref="P10:P13"/>
    <mergeCell ref="M12:M13"/>
    <mergeCell ref="G12:G13"/>
    <mergeCell ref="J10:O10"/>
    <mergeCell ref="N12:N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oddHeader>
  </headerFooter>
  <rowBreaks count="4" manualBreakCount="4">
    <brk id="35" max="15" man="1"/>
    <brk id="50" max="15" man="1"/>
    <brk id="68" max="15" man="1"/>
    <brk id="9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Admin</cp:lastModifiedBy>
  <cp:lastPrinted>2020-07-02T06:51:37Z</cp:lastPrinted>
  <dcterms:created xsi:type="dcterms:W3CDTF">2016-12-26T13:46:38Z</dcterms:created>
  <dcterms:modified xsi:type="dcterms:W3CDTF">2020-07-02T06:53:01Z</dcterms:modified>
  <cp:category/>
  <cp:version/>
  <cp:contentType/>
  <cp:contentStatus/>
</cp:coreProperties>
</file>