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025" firstSheet="12" activeTab="12"/>
  </bookViews>
  <sheets>
    <sheet name="2017 рік (роботи)" sheetId="1" state="hidden" r:id="rId1"/>
    <sheet name="2017 рік (ПКД+ роботи)" sheetId="2" state="hidden" r:id="rId2"/>
    <sheet name="2017 рік (ПКД)" sheetId="3" state="hidden" r:id="rId3"/>
    <sheet name="2017 рік" sheetId="4" state="hidden" r:id="rId4"/>
    <sheet name="2017 рік-уточн" sheetId="5" state="hidden" r:id="rId5"/>
    <sheet name="2017 рік-уточн (2)" sheetId="6" state="hidden" r:id="rId6"/>
    <sheet name="2017 рік-уточн (3)" sheetId="7" state="hidden" r:id="rId7"/>
    <sheet name="бюдж.запит. 2018 (ПКД в наявн.)" sheetId="8" state="hidden" r:id="rId8"/>
    <sheet name="бюдж.запит. 2018 ПКД" sheetId="9" state="hidden" r:id="rId9"/>
    <sheet name="бюдж.запит. 2018 ПКД+роботи" sheetId="10" state="hidden" r:id="rId10"/>
    <sheet name="бюдж.запит. 2018 роботи" sheetId="11" state="hidden" r:id="rId11"/>
    <sheet name="бюдж.запит. 2018 (введення)" sheetId="12" state="hidden" r:id="rId12"/>
    <sheet name="2020-6" sheetId="13" r:id="rId13"/>
    <sheet name="ОЦФОНПС" sheetId="14" state="hidden" r:id="rId14"/>
    <sheet name="бюдж.запит. 2018-2020 ОЦФОНПС" sheetId="15" state="hidden" r:id="rId15"/>
    <sheet name="2017 рік-уточн (ПКД)" sheetId="16" state="hidden" r:id="rId16"/>
    <sheet name="2017 рік-субв." sheetId="17" state="hidden" r:id="rId17"/>
    <sheet name="2017 рік-субв. (2)" sheetId="18" state="hidden" r:id="rId18"/>
    <sheet name="2017 рік фізкультура" sheetId="19" state="hidden" r:id="rId19"/>
    <sheet name="2017 рік культура" sheetId="20" state="hidden" r:id="rId20"/>
    <sheet name="2017 рік-енергоефект." sheetId="21" state="hidden" r:id="rId21"/>
  </sheets>
  <definedNames>
    <definedName name="_xlnm.Print_Titles" localSheetId="3">'2017 рік'!$3:$4</definedName>
    <definedName name="_xlnm.Print_Titles" localSheetId="2">'2017 рік (ПКД)'!$3:$4</definedName>
    <definedName name="_xlnm.Print_Titles" localSheetId="1">'2017 рік (ПКД+ роботи)'!$3:$4</definedName>
    <definedName name="_xlnm.Print_Titles" localSheetId="0">'2017 рік (роботи)'!$3:$4</definedName>
    <definedName name="_xlnm.Print_Titles" localSheetId="19">'2017 рік культура'!$3:$4</definedName>
    <definedName name="_xlnm.Print_Titles" localSheetId="18">'2017 рік фізкультура'!$3:$4</definedName>
    <definedName name="_xlnm.Print_Titles" localSheetId="20">'2017 рік-енергоефект.'!$3:$4</definedName>
    <definedName name="_xlnm.Print_Titles" localSheetId="16">'2017 рік-субв.'!$3:$4</definedName>
    <definedName name="_xlnm.Print_Titles" localSheetId="17">'2017 рік-субв. (2)'!$3:$4</definedName>
    <definedName name="_xlnm.Print_Titles" localSheetId="4">'2017 рік-уточн'!$3:$4</definedName>
    <definedName name="_xlnm.Print_Titles" localSheetId="5">'2017 рік-уточн (2)'!$3:$4</definedName>
    <definedName name="_xlnm.Print_Titles" localSheetId="6">'2017 рік-уточн (3)'!$3:$4</definedName>
    <definedName name="_xlnm.Print_Titles" localSheetId="15">'2017 рік-уточн (ПКД)'!$3:$4</definedName>
    <definedName name="_xlnm.Print_Titles" localSheetId="12">'2020-6'!$10:$11</definedName>
    <definedName name="_xlnm.Print_Titles" localSheetId="11">'бюдж.запит. 2018 (введення)'!$3:$5</definedName>
    <definedName name="_xlnm.Print_Titles" localSheetId="7">'бюдж.запит. 2018 (ПКД в наявн.)'!$3:$5</definedName>
    <definedName name="_xlnm.Print_Titles" localSheetId="8">'бюдж.запит. 2018 ПКД'!$3:$5</definedName>
    <definedName name="_xlnm.Print_Titles" localSheetId="9">'бюдж.запит. 2018 ПКД+роботи'!$3:$5</definedName>
    <definedName name="_xlnm.Print_Titles" localSheetId="10">'бюдж.запит. 2018 роботи'!$3:$5</definedName>
    <definedName name="_xlnm.Print_Titles" localSheetId="14">'бюдж.запит. 2018-2020 ОЦФОНПС'!$3:$5</definedName>
    <definedName name="_xlnm.Print_Titles" localSheetId="13">'ОЦФОНПС'!$3:$5</definedName>
    <definedName name="_xlnm.Print_Area" localSheetId="3">'2017 рік'!$A$1:$H$103</definedName>
    <definedName name="_xlnm.Print_Area" localSheetId="2">'2017 рік (ПКД)'!$A$1:$H$37</definedName>
    <definedName name="_xlnm.Print_Area" localSheetId="1">'2017 рік (ПКД+ роботи)'!$A$1:$H$46</definedName>
    <definedName name="_xlnm.Print_Area" localSheetId="0">'2017 рік (роботи)'!$A$1:$H$37</definedName>
    <definedName name="_xlnm.Print_Area" localSheetId="19">'2017 рік культура'!$A$1:$H$25</definedName>
    <definedName name="_xlnm.Print_Area" localSheetId="18">'2017 рік фізкультура'!$A$1:$H$14</definedName>
    <definedName name="_xlnm.Print_Area" localSheetId="20">'2017 рік-енергоефект.'!$A$1:$H$20</definedName>
    <definedName name="_xlnm.Print_Area" localSheetId="16">'2017 рік-субв.'!$A$1:$H$10</definedName>
    <definedName name="_xlnm.Print_Area" localSheetId="17">'2017 рік-субв. (2)'!$A$1:$H$9</definedName>
    <definedName name="_xlnm.Print_Area" localSheetId="4">'2017 рік-уточн'!$A$1:$H$34</definedName>
    <definedName name="_xlnm.Print_Area" localSheetId="5">'2017 рік-уточн (2)'!$A$1:$H$36</definedName>
    <definedName name="_xlnm.Print_Area" localSheetId="6">'2017 рік-уточн (3)'!$A$1:$H$34</definedName>
    <definedName name="_xlnm.Print_Area" localSheetId="15">'2017 рік-уточн (ПКД)'!$A$1:$H$18</definedName>
    <definedName name="_xlnm.Print_Area" localSheetId="12">'2020-6'!$A$1:$K$15</definedName>
    <definedName name="_xlnm.Print_Area" localSheetId="11">'бюдж.запит. 2018 (введення)'!$A$1:$S$39</definedName>
    <definedName name="_xlnm.Print_Area" localSheetId="7">'бюдж.запит. 2018 (ПКД в наявн.)'!$A$1:$S$52</definedName>
    <definedName name="_xlnm.Print_Area" localSheetId="8">'бюдж.запит. 2018 ПКД'!$A$1:$S$30</definedName>
    <definedName name="_xlnm.Print_Area" localSheetId="9">'бюдж.запит. 2018 ПКД+роботи'!$A$1:$S$18</definedName>
    <definedName name="_xlnm.Print_Area" localSheetId="10">'бюдж.запит. 2018 роботи'!$A$1:$S$37</definedName>
    <definedName name="_xlnm.Print_Area" localSheetId="14">'бюдж.запит. 2018-2020 ОЦФОНПС'!$A$1:$S$13</definedName>
    <definedName name="_xlnm.Print_Area" localSheetId="13">'ОЦФОНПС'!$A$1:$S$25</definedName>
  </definedNames>
  <calcPr fullCalcOnLoad="1"/>
</workbook>
</file>

<file path=xl/sharedStrings.xml><?xml version="1.0" encoding="utf-8"?>
<sst xmlns="http://schemas.openxmlformats.org/spreadsheetml/2006/main" count="2064" uniqueCount="521">
  <si>
    <t>Ремонтно-відновлювальні роботи набережної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</si>
  <si>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Капітальний ремонт громадського туалету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</si>
  <si>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070806
3132</t>
  </si>
  <si>
    <t>Капітальний ремонт та санація будівлі спального корпусу Вищого училища Миколаївської обласної ради, по вул. Чигрина,41 м. Миколаєва (в тому числі виготовлення проектно-кошторисної документації та проведення експертизи)</t>
  </si>
  <si>
    <t>ПКД+експертиза орієнтовно 40,000 тис. грн.</t>
  </si>
  <si>
    <t>Капітальний ремонт з утеплення будівлі Лупаревського психоневрологічного інтернату по вул. Проїзжа,33 в с. Лупареве Жовтневого району Миколаївської області (в т.ч. коригування ПКД та проведення експертизи)</t>
  </si>
  <si>
    <t>110102
3132</t>
  </si>
  <si>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 (в т.ч. виготовлення проектно-кошторисної документації та проведення експертизи)</t>
  </si>
  <si>
    <t>Капітальний ремонт приміщень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</si>
  <si>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Капітальний ремонт будівлі обласного інституту післядипломної педагогічної освіти по вул. Адміральська, 4-А у м. Миколаєві (в т.ч. виготовлення проектно-кошторисної документації та проведення експертизи)</t>
  </si>
  <si>
    <t>Капітальний ремонт покрівлі харчоблоку Миколаївської обласної психiатричної лiкарні № 2, по вул.Сєвєрна, 14 в с.Сапетня Миколаївського району Миколаївської області (в т.ч. виготовлення проектно-кошторисної документації та проведення експертизи)</t>
  </si>
  <si>
    <t>Кошторисна вартість, тис.грн.</t>
  </si>
  <si>
    <t>№ п/п</t>
  </si>
  <si>
    <t>Всього:</t>
  </si>
  <si>
    <t>Найменування об'єкту</t>
  </si>
  <si>
    <t>Примітка</t>
  </si>
  <si>
    <t>Відсоток завершеності будівництва об’єктів на майбутні рокиі, %</t>
  </si>
  <si>
    <t>КТКВК
КЕКВ</t>
  </si>
  <si>
    <t>070301
3132</t>
  </si>
  <si>
    <t>150101
3142</t>
  </si>
  <si>
    <t>150110
3142</t>
  </si>
  <si>
    <t>Реконструкція виробничого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</si>
  <si>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Реконструкція майстерні Первомайської спеціальної загальноосвітньої  школи-інтернату Миколаївської обласної ради по вул. Краснофлотська, 25, у м.Первомайську Миколаївської області</t>
  </si>
  <si>
    <t>150201
3142</t>
  </si>
  <si>
    <t>130114
3132</t>
  </si>
  <si>
    <t>090901
3132</t>
  </si>
  <si>
    <t>080101
3132</t>
  </si>
  <si>
    <t>130107
3132</t>
  </si>
  <si>
    <t>150119
3142</t>
  </si>
  <si>
    <t>Реконструкція обласного протитуберкульозного диспансеру по вул.Веселинівська, 4 у с.Надбузьке Миколаївського району</t>
  </si>
  <si>
    <t>х</t>
  </si>
  <si>
    <t>П.А. Нуждов</t>
  </si>
  <si>
    <t>Ковальова 37 94 85</t>
  </si>
  <si>
    <t>150101
3122</t>
  </si>
  <si>
    <t>Реконструкція Миколаївської загальноосвітньої школи-інтернату № 3 І-ІІІ ступенів Миколаївської обласної ради по вул. 1 Слобідська, 74, м.Миколаїв (І черга) (в тому числі винотовлення проектно-кошторисної документації та проведення експертизи)</t>
  </si>
  <si>
    <t>Старофлотські казарми, м. Миколаїв - реконструкція під музейне містечко (друга черга)</t>
  </si>
  <si>
    <t>Капітальний ремонт покрівлі складських приміщень бази спецмедпостачання, розташованих по вул. Гагаріна, 21 у м.Миколаєві</t>
  </si>
  <si>
    <t>081002
3132</t>
  </si>
  <si>
    <t>Завершення робіт по об’єкту, а саме встановлення додаткової комірки з вакуумним вимикачем та проведення пусконалагоджувальних робіт.</t>
  </si>
  <si>
    <t>Начальник управління капітального будівництва облдержадміністрації</t>
  </si>
  <si>
    <t>070307
3132</t>
  </si>
  <si>
    <t>Встановлення електроопалювального, теплоакумулюючого обладнання та інші заходи для підвищення енергоефективності обласної бази спеціального медичного постачання у м.Миколаєві, пр. Героїв Сталінграда, буд. 7-А (реконструкція) (в тому числі коригування прое</t>
  </si>
  <si>
    <t>070701
3132</t>
  </si>
  <si>
    <t>Коригування проектно-кошторисної документації в цінах поточного року.</t>
  </si>
  <si>
    <t>070601
3132</t>
  </si>
  <si>
    <t>Санація будівлі Миколаївського базового медичного коледжу за адресою: вул. Космонавтів, 79/1 (Капітальний ремонт фасаду будівлі)</t>
  </si>
  <si>
    <t>В результаті проведення робіт з утеплення зовнішніх стін будівлі медичного коледжу, це дозволить заощадити витрати на обігрів приміщень в осінньо-зимовий період часу, поліпшити функціональні характеристики стін будівлі.</t>
  </si>
  <si>
    <t xml:space="preserve">Утеплення зовнішній стін будівлі, що дасть можливість економії бюджетних коштів на опаленні. </t>
  </si>
  <si>
    <t>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t>
  </si>
  <si>
    <t>Заміна шиферної покрівлі на нову, загальнобудівельні роботи по переобладнанню класу в санвузол, улаштування внутрішньої системи опалення, водопроводу та каналізації, монтаж водомірного вузла, утеплення фасаду, часткова заміна старих деревяних вікон на металопластикові забезпечить належний рівень отримання освітніх послуг в загальноосвітніх навчальних закладах.</t>
  </si>
  <si>
    <t>Завершення робіт Першого пускового комплексу:
Улаштування теплих підлог в приміщеннях дитячого відділення; систем холодного водопостачання та системи протипожежного водопроводу з автоматикою пожежних кранів в будівлях: головного (лікувального) корпусу,дитячого відділення, терапевтичного корпусу, хозблоку, операційного блоку, патологоанатомічного корпусу, хлораторної, прохідної тубдиспансеру.Улаштування споруд очищення води для господарсько-питних потреб потужністю 150 м3/добу, улаштування дизель-генераторів для котелень та будівлі с баками запасу води для безперебійної роботи котелень.
Другий пусковий комплекс:
 Заміна рулонних покрiвель в будівлях: головного (лікувального) корпусу, дитячого відділення, терапевтичного корпусу, господарского корпусу, операцiйного блоку.
 Виконання робіт з реконструкції м’яких покрівель корпусів диспансеру  дасть можливість економії бюджетних коштів на опаленні та забеспечення теплового режиму в приміщеннях диспансеру, безперебійна подача горячої води.</t>
  </si>
  <si>
    <t>Реставрація фасаду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</si>
  <si>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</si>
  <si>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автономного опалення в будівлі Миколаївської обласної психолого-медико-педагогічної консультації по вул.Наваринська, 6, м. Миколаїв (в т.ч. виготовлення проектно-кошторисної документації та проведення експертизи)</t>
  </si>
  <si>
    <t>Реставрація фасаду будівлі обласного Будинку художньої  творчрсті по вул.Фалєєвська, 7 м.Миколаїв (в т.ч. коригування проектно-кошторисної документації та проведення експертизи)</t>
  </si>
  <si>
    <t>Реставрація фасаду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</si>
  <si>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Залишок на 01.01.2017, тис.грн.</t>
  </si>
  <si>
    <t xml:space="preserve">ПЕРЕЛІК
об’єктів і заходів, які додатково пропонуються до фінансування за рахунок коштів бюджету розвитку обласного бюджету в 2017 році </t>
  </si>
  <si>
    <t>Пропозиції до фінансування на 2017 рік, тис.грн.</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</si>
  <si>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
І черга - 11549,416 тис. грн. (залишок - 8497,375 тис. грн),
ІІ черга - 2285,681 тис. грн.,
ІІІ черга - 13784,983 тис. грн.</t>
  </si>
  <si>
    <t>Реконструкцію каналізаційної насосної станції Миколаївської спеціальнім загальноосвітньої школі-інтернату №6 ІІІ ступенів Миколаївської обласної ради по вул Рибна, 95</t>
  </si>
  <si>
    <t>Капітальний ремонт Миколаївської обласної комунальної комплексної дитячо-юнацької спортивної школи по вул.Лазурна, 18-В в м.Миколаєві</t>
  </si>
  <si>
    <t>Реконструкція обласного будинку дитини по вул. Бутоми, 7б, м. Миколаїв</t>
  </si>
  <si>
    <t>Капітальний ремонт Миколаївської обласної школи вищої спортивної майстерності по вул. Спортивна, 17 в м.Миколаєві</t>
  </si>
  <si>
    <t>Шевченківська загальноосвітня школа-інтернат I-II ступенів Миколаївської обласної ради, с. Шевченкове, Жовтневого району</t>
  </si>
  <si>
    <t xml:space="preserve">Капітальний ремонт та утеплення фасаду будівлі учбового корпусу Вищого училища Миколаївської обласної ради, по вул. Чигрина,41 м. Миколаєва </t>
  </si>
  <si>
    <t>Реконструкція спортивного залу, гаражів Вознесенської загальноосвітньої школи-інтернату I-Ш ступенів «Обдарованість» Миколаївської обласної ради по вул Леніна,20, м. Вознесенеьк</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</si>
  <si>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Адмiральській,4Б в м.Миколаєві</t>
  </si>
  <si>
    <t>Відповідно до  рішення обласної ради від 22 жовтня 2010 року № 17 «Про надання згоди на безоплатну передачу майна зі спільної власності територіальних громад сіл, селищ, міст Миколаївської області у комунальну власність територіальної громади м.Миколаєва» каналізаційна насосна станція має бути передана у комунальну власність територіальної громади м.Миколаєва. Питання зволікається у зв'язку з незадовільним технічним станом станції. Реконтсрукція холодного та горячого водопостачання, системи опалення та вентиляції, придбання та монтаж пожежного, охоронного обладнання. Благоустрій території та улаштування дорожнього покриття</t>
  </si>
  <si>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t>
  </si>
  <si>
    <t>Капітальний ремонт покрівлі будівлі.</t>
  </si>
  <si>
    <t>Технічне переоснащення котельні з установкою електричних котлів АПВЕ-90 потужністю 4х90кВт Обласного омунального підприємства "Миколаївоблтеплоенерго" по вул. Знаменській, 2 у м.Миколаєві</t>
  </si>
  <si>
    <t>Покрівля учбового корпусу 1684 кв.м за давністю експлуатації та технічним станом дійшла аварійного стану (технічний звіт та припис Управління Держпраці у Миколаївській області в наявності).</t>
  </si>
  <si>
    <t>Ремонт даху, заміна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t>
  </si>
  <si>
    <t xml:space="preserve">Реконструкція даху, вентиляції і утеплення будівель, заміні теплових мереж будинку, що дасть можливість економії бюджетних коштів на опаленні та забеспечення теплового режиму в приміщеннях.                                  </t>
  </si>
  <si>
    <t>Реконструкція лікувально-виробничих майстерень обласного протитуберкульозного диспансеру під розміщення боксованого відділення для хворих на хіміорезистентний туберкульоз, за адресою: Миколаївський район, с.Надбузьке, вул.Веселинівська, 4 (в тому числі коригування проектно-кошторисної документації та проведення експертизи)</t>
  </si>
  <si>
    <t>Капітальний ремонт приміщень Миколаївської обласної дитячо-юнацької спортивної школи "Обласний шахово-шашковий клуб" імені М.В.Шелеста</t>
  </si>
  <si>
    <t>Реконструкція будівлі Дорошівської загальноосвітньої школи  І-ІІІ ступенів для розміщення навчально-допоміжних приміщень по вул.Свірьопкіна, 113, с.Дорошівка, Вознесенського району Миколаївської області (в тому числі коригування проектно-кошторисної документації та проведення експертизи)</t>
  </si>
  <si>
    <t>080201
3132</t>
  </si>
  <si>
    <t>Нове будівництво спортивних майданчиків Миколаївської обласної школи вищої спортивної майсткерності по вул. Спортивна, 17 в м. Миколаєві</t>
  </si>
  <si>
    <t>150119
3122</t>
  </si>
  <si>
    <t>Будівництво спального корпусу Миколаївської спеціальної загальноосвітньої школи-інтернату №3 Миколаївської обласної ради по вул.Котельня,117 в м.Миколаєві (в т.ч. виготовлення проектно-кошторисної документації та проведення експертизи)</t>
  </si>
  <si>
    <t>Будівництво спортивних майданчиків:
І черрга будівництва - 15148,060 тис. грн. - два універсальних майданчика;
ІІ черрга будівництва - 6833,854 тис. грн. - два волейбольних майданчика.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</si>
  <si>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Реконструкція блоку молодших класів Миколаївської загальноосвітньої санаторної школи-інтернат I-III ступенiв №4 Миколаївської обласної ради по вул. Адмiральській,4Б в м.Миколаєві  (в тому числі виготовлення проектно-кошторисної документації та проведення експертизи)</t>
  </si>
  <si>
    <t>Новопетрівська спеціальна загальноосвітня школа-інтернат Миколаївської обласної ради, с. Новопетрівка Снігурівського району, – реконструкція системи опалення (в тому числі виготовлення проектно-кошторисної документації)</t>
  </si>
  <si>
    <t xml:space="preserve">Реконструкція котельні Володимирівської загальноосвітньої школи-інтернату І-ІІ ступенів Миколаївської обласної ради </t>
  </si>
  <si>
    <t>070201
3132</t>
  </si>
  <si>
    <t>Реконструкція котельні комунального закладу «Загальноосвітня школа-інтернат І-ІІІ ступенів – центр загальної та профільної освіти та комплексної реабілітації (в тому числі виготовлення проектно-кошторисної документації)</t>
  </si>
  <si>
    <t>Антонівська загальноосвітня школа-інтернат I-III ступенів Миколаївської обласної ради – реконструкція котельні з модернізацією обладнання, с. Антонівка, Новоодеського району (в тому числі виготовлення проектно-кошторисної документації)</t>
  </si>
  <si>
    <t>Очаківська загальноосвітня санаторна  школа-інтернат I-III ступенів Миколаївської обласної ради – реконструкція покрівлі спальних корпусів (в тому числі виготовлення проектно-кошторисної документації)</t>
  </si>
  <si>
    <t>Шевченківська загальноосвітня школа-інтерант Миколаївської обласної ради, с. Шевченково, Жовтневого району – реконструкція покрівлі спальних корпусів (в тому числі виготовлення проектно-кошторисної документації)</t>
  </si>
  <si>
    <t>Привільнянська спеціальна загальноосвітня школа-інтернат Миколаївської обласної ради, с. Привільне Баштанського району – капітальний ремонт спального корпусу з санацією будівлі (в тому числі виготовлення проектно-кошторисної документації)</t>
  </si>
  <si>
    <t>Лисогірська спеціальна загальноосвітня школа-інтернат Миколаївської обласної ради, с. Лиса Гора Первомайського району – капітальний ремонт спального корпусу з санацією будівлі (в тому числі виготовлення проектно-кошторисної документації)</t>
  </si>
  <si>
    <t>Капітальний ремонт покрівлі та заміна перекриття спального корпусу хлопчиків та столярних майстерень Вознесенської спеціальної загальноосвітньої школи-інтернату Миколаївської обласної ради, по вул Пушкінській,30 м. Вознесенськ  (в тому числі виготовлення проектно-кошторисної документації)</t>
  </si>
  <si>
    <t>Капітальний ремонт лазніі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</si>
  <si>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Реконструкція будівлі учбового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</si>
  <si>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 xml:space="preserve">Володимирівська загальноосвітня школа-інтернат Миколаївської обласної ради- капітальний ремонт спортивного залу </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</si>
  <si>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(в т.ч. коригування ПКД та проведення експертизи)</t>
  </si>
  <si>
    <t>Капітальний ремонт котельні із заміною опалювальних котлів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</si>
  <si>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</si>
  <si>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пральні-лазні Баратівського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</si>
  <si>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пральні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</si>
  <si>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підлоги та стелі кухні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</si>
  <si>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Первомайського психоневрологічного інтернату  (у тому числі виготовлення проектно-кошторисної документації та проведення експертизи)</t>
  </si>
  <si>
    <t>Капітальний ремонт санвузлів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</si>
  <si>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лазні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</si>
  <si>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за адресою м.Миколаїв, вул.Коларова,5 Миколаївський обласний центр обліку бездомних громадян (у тому числі виготовлення проектно-кошторисної документації та проведення експертизи)</t>
  </si>
  <si>
    <t>Реконструкція будівлі Миколаївського геріатричного пансіонату по вул. Казарського,4 в м. Миколаєві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</si>
  <si>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</si>
  <si>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</si>
  <si>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Капітальний ремонт газової модульної котельні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</si>
  <si>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070601
3131</t>
  </si>
  <si>
    <t>Капітальний ремонт гуртожитку Миколаївського коледжу культури і мистецтва по пр.Миру.16 м. Миколаєва  (в т.ч. виготовлення проектно-кошторисної документації та проведення експертизи)</t>
  </si>
  <si>
    <t>Капітальний ремонт покрівлі навчального корпусу Миколаївського коледжу культури і мистецтва м.Миколаїв. вул. Фалеєвська. 5  (в т.ч. виготовлення проектно-кошторисної документації та проведення експертизи)</t>
  </si>
  <si>
    <t>Санація будівлі комунального закладу культури "Обласний палац культури" за адресою пл. Суднобудівників, 3 в м.Миколаїв (капітальний ремонт) (в т.ч. коригування проектно-кошторисної документації та проведення експертизи)</t>
  </si>
  <si>
    <t>Капітальний ремонт приміщень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</si>
  <si>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Капітальний ремонт фонтану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</si>
  <si>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110202
3132</t>
  </si>
  <si>
    <t>Реконструкція територіально-виділеного відділу Миколаївського обласного краєзнавчого музею Очаківський військово-історичний музей ім. О.В.Суворова- прибудова діорами (в т.ч. коригування проектно-кошторисної документації та проведення експертизи)</t>
  </si>
  <si>
    <t>Капітальний ремонт Первомайського краєзнавчого музею м. Первомайськ, вул.Дзержинського,10 (в тому числі виготовлення проектно-кошторисної документації та проведення експертизи)</t>
  </si>
  <si>
    <t>110201
3132</t>
  </si>
  <si>
    <t xml:space="preserve">Виготовлення проектно-кошторисної документації </t>
  </si>
  <si>
    <t>Капітальний ремонт приміщень Миколаївської  обласної універсальної наукової бібліотеки ім. О.Гмирьова  м.Миколаїв, вул Московська, 9 (в тому числі виготовлення проектно-кошторисної документації та проведення експертизи)</t>
  </si>
  <si>
    <t>Капітальний ремонт будівлі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</si>
  <si>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Будівництво котельні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</si>
  <si>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Капітальний ремонт системи опалення Миколаївського обласного театру ляльок по вул. Потьомкінська, 53, в м. Миколаєві</t>
  </si>
  <si>
    <t>080206
3132</t>
  </si>
  <si>
    <t>Реконструкція приміщень  для розміщення інженерно-технічної служби в господарчому корпусі Миколаївської обласної лікарні по вул.Київській, 1 в м.Миколаєві</t>
  </si>
  <si>
    <t>Капітальний ремонт корпусу консультативно-діагностичної поліклініки Миколаївської обласної лікарні по вул.Київській, 1 в м.Миколаєві (в т.ч. коригування проектно-кошторисної документації та проведення експертизи)</t>
  </si>
  <si>
    <t>Реконструкція радіологічного блоку Миколаївського обласного онкологічного диспансеру (в т.ч. виготовлення проектно-кошторисної документації та проведення експертизи)</t>
  </si>
  <si>
    <t>Капітальний ремонт покрівлі Миколаївської обласної психiатричної лiкарні № 1, по вул. Володарського, 4, м. Миколаїв (в т.ч. виготовлення проектно-кошторисної документації та проведення експертизи)</t>
  </si>
  <si>
    <t>Реконструкція покрівлі будівлі клініко-токсикологічної діагностичної лабораторії по вул. 2-а Екіпажна, 4Б в м.Миколаєві</t>
  </si>
  <si>
    <t>Реконсутркція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</si>
  <si>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080704
3132</t>
  </si>
  <si>
    <t>Капітальний ремонт покрівлі будівлі Миколаївського обласного центру здоров’я  по вул.Адміральська, 35, м. Миколаїв (у тому числі виготовлення проектно-кошторисної документації та проведення експертизи)</t>
  </si>
  <si>
    <t>Реставрація головного корпусу обласної лікарні відновного лікування по вул.В.Морська, 27 у м. Миколаєві - виконання протиаварійних робіт підвальних приміщень залу гідропатії</t>
  </si>
  <si>
    <t>У зв’язку зі збільшенням кількості хворих з вертеброгенною патологією та необхідністю витягування хребта басейн гідропатії потребує капітального ремонту (протиаварійниі роботи підвального приміщення залу гідропатії).</t>
  </si>
  <si>
    <t>Капітальний ремонт 1 інфекційного відділення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</si>
  <si>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відділення анестезіології і реанімації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</si>
  <si>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Миколаївської обласної дитячої інфекційної лікарні м. Миколаїв, вул. 9 Поздовжня 10-А (термосанація фасада) (в т.ч. виготовлення проектно-кошторисної документації та проведення експертизи)</t>
  </si>
  <si>
    <t>Реконструкція будівлі котельної обласної дитячої лікарні по вул.Миколаївській, 21 в м. Миколаєві під функціональні приміщення з надбудовою 2-го поверху (у тому числі коригуванняння проектно-кошторисної документації)</t>
  </si>
  <si>
    <t>Реконструкція будівлі Миколаївського обласного бюро судово-медичної експертизи по вул.Потьомкінська,138, м.Миколаїв (в т.ч. виготовлення проектно-кошторисної документації та проведення експертизи)</t>
  </si>
  <si>
    <t>Капітальний ремонт неонатального відділення Миколаївської обласної дитячої лікарні по вул. Миколаївська, 21, м.Миколаїв (в т.ч. виготовлення проектно-кошторисної документації та проведення експертизи)</t>
  </si>
  <si>
    <t>Реконструкція приміщення дезінфекційної камери Миколаївського обласного госпіталю ветеранів війни по  вул. Київська, 1, м.Миколаїв</t>
  </si>
  <si>
    <t>Реконструкція вузла обліку природного газу в  Миколаївському обласному госпіталі ветеранів війни по  вул. Київська, 1, м.Миколаїв</t>
  </si>
  <si>
    <r>
      <rPr>
        <b/>
        <sz val="12"/>
        <rFont val="Times New Roman"/>
        <family val="1"/>
      </rPr>
      <t xml:space="preserve">Коригування проектно-кошторисної документації </t>
    </r>
    <r>
      <rPr>
        <sz val="12"/>
        <rFont val="Times New Roman"/>
        <family val="1"/>
      </rPr>
      <t>в цінах поточного року. Улаштування електроопалювального теплоакумулюючого обладнання для підвищення енергоефективності обласної бази медичної поставки, монтаж електрообладнання, улаштуваннямережі електрозабезпечення.</t>
    </r>
  </si>
  <si>
    <r>
      <rPr>
        <b/>
        <sz val="12"/>
        <rFont val="Times New Roman"/>
        <family val="1"/>
      </rPr>
      <t>Виготовлення проектно-кошторисної документаці</t>
    </r>
    <r>
      <rPr>
        <sz val="12"/>
        <rFont val="Times New Roman"/>
        <family val="1"/>
      </rPr>
      <t>ї для виконання робіт з реконструкції будівлі.
Незадовідьний технічний стан будівлі пансіонату.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</si>
  <si>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</si>
  <si>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Коригування проектно-кошторисної документації для завершення робіт</t>
    </r>
    <r>
      <rPr>
        <sz val="12"/>
        <rFont val="Times New Roman"/>
        <family val="1"/>
      </rPr>
      <t xml:space="preserve"> з внутрішнього охдоблення приміщень шокли та введення об’єкта в експлуатацію..</t>
    </r>
  </si>
  <si>
    <r>
      <t xml:space="preserve">Будівля перебуває у технічно-незадовільному стані. На стінах вертикальні щілини шириною розкриття до 5-7 см. 
</t>
    </r>
    <r>
      <rPr>
        <b/>
        <sz val="12"/>
        <rFont val="Times New Roman"/>
        <family val="1"/>
      </rPr>
      <t>Проектно-кошторисна документація в стадії розроблення департаментом освіти.</t>
    </r>
  </si>
  <si>
    <r>
      <t xml:space="preserve">У зв'язку з реконструкцією майстерень під їдальню роздягальні спортивного залу було включено до приміщень харчоблоку. Наразі потребує реконструкції спортзал. Шкільний гараж дійшов аварійного стану.
</t>
    </r>
    <r>
      <rPr>
        <b/>
        <sz val="12"/>
        <rFont val="Times New Roman"/>
        <family val="1"/>
      </rPr>
      <t>Проектно-кошторисна документація в стадії розроблення УКБ.</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</si>
  <si>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Котельна знаходиться в підвальному приміщенні, що суперечить ДБН.  
Існуюча котельня розташована в підвальному приміщенні учбового корпусу. Димова труба у технічно-незадовільному стані, заміна котлів не проводилась у продовж 15 років.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</si>
  <si>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Заходи по скороченню та заміщенню споживання природного газу на об'єктах соціальної сфери.</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</si>
  <si>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</si>
  <si>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</si>
  <si>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будівлі.</t>
    </r>
  </si>
  <si>
    <r>
      <rPr>
        <b/>
        <sz val="12"/>
        <rFont val="Times New Roman"/>
        <family val="1"/>
      </rPr>
      <t>Коригування проектно-кршторисної документації.</t>
    </r>
    <r>
      <rPr>
        <sz val="12"/>
        <rFont val="Times New Roman"/>
        <family val="1"/>
      </rPr>
      <t xml:space="preserve">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r>
  </si>
  <si>
    <r>
      <rPr>
        <b/>
        <sz val="12"/>
        <rFont val="Times New Roman"/>
        <family val="1"/>
      </rPr>
      <t>Виготовлення проектно-кошторисної документації для виконання робіт з будівництва.</t>
    </r>
    <r>
      <rPr>
        <sz val="12"/>
        <rFont val="Times New Roman"/>
        <family val="1"/>
      </rPr>
      <t xml:space="preserve">
Існуючий спальний корпус розташований на значній відстані від учбового корпусу та їдальні закладу, що створює незручності для дітей. Склад та площа приміщень не відповідають Державним нормам і правилам "Гігієнічні вимоги до улаштування, утримання, режиму спеціальних загальноосвітніх шкіл-інтернатів для дітей, які потребують корекції ффізичного та (або) розкмового розвитку та навчально-реабілітаційних центрів", затвердженим наказом Міністерства охорони здоров’я України від 02.02.2013 №144. </t>
    </r>
  </si>
  <si>
    <r>
      <rPr>
        <b/>
        <sz val="12"/>
        <rFont val="Times New Roman"/>
        <family val="1"/>
      </rPr>
      <t>Проектно-кошторисної документація без експертизи.</t>
    </r>
    <r>
      <rPr>
        <sz val="12"/>
        <rFont val="Times New Roman"/>
        <family val="1"/>
      </rPr>
      <t xml:space="preserve">
Невідповідність приміщень до санітарних норм. Необхідно поліпшити технічний стан лікарні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</si>
  <si>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t>
    </r>
  </si>
  <si>
    <r>
      <rPr>
        <b/>
        <sz val="12"/>
        <rFont val="Times New Roman"/>
        <family val="1"/>
      </rPr>
      <t>Проектно-кошторисної документація без експертизи.</t>
    </r>
    <r>
      <rPr>
        <sz val="12"/>
        <rFont val="Times New Roman"/>
        <family val="1"/>
      </rPr>
      <t xml:space="preserve">
Система опалдення потребує реконструкції, дуже стара. Для виконання енергозберігаючих заходів.</t>
    </r>
  </si>
  <si>
    <r>
      <rPr>
        <b/>
        <sz val="12"/>
        <rFont val="Times New Roman"/>
        <family val="1"/>
      </rPr>
      <t>Проектно-кошторисної документація без експертизи.</t>
    </r>
    <r>
      <rPr>
        <sz val="12"/>
        <rFont val="Times New Roman"/>
        <family val="1"/>
      </rPr>
      <t xml:space="preserve">
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r>
  </si>
  <si>
    <r>
      <rPr>
        <b/>
        <sz val="12"/>
        <rFont val="Times New Roman"/>
        <family val="1"/>
      </rPr>
      <t xml:space="preserve">Виготовлення проектно-кошторисної документації </t>
    </r>
    <r>
      <rPr>
        <sz val="12"/>
        <rFont val="Times New Roman"/>
        <family val="1"/>
      </rPr>
      <t xml:space="preserve">
Просадка будівлі з відходженням зовнішньої стіни. Для можливості реконструкції будівлі бюро провести інженерно-геодезичні роботи, інженерно-геологічні роботи, технічне обстеження необхідно провести.</t>
    </r>
  </si>
  <si>
    <t>Проектно-кошторисна документація в стадії розроблення.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</si>
  <si>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реставрації фасаду будівлі.</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</si>
  <si>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</si>
  <si>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 реставрація фасаду;
- ремонт покрівлі;
- заміна труб каналізації</t>
    </r>
  </si>
  <si>
    <t>Виготовлення проектно-кошторисної документації</t>
  </si>
  <si>
    <t>Технічне переоснащення топкової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</si>
  <si>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t>Реконструкція прибудови (з установкою пандуса)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</si>
  <si>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r>
      <rPr>
        <b/>
        <sz val="12"/>
        <rFont val="Times New Roman"/>
        <family val="1"/>
      </rPr>
      <t>Виготовлення проектно-кошторисної документації.</t>
    </r>
    <r>
      <rPr>
        <sz val="12"/>
        <rFont val="Times New Roman"/>
        <family val="1"/>
      </rPr>
      <t xml:space="preserve">
Додаткове встановлення котла в топковій з встановленням сигналізації загазованості.</t>
    </r>
  </si>
  <si>
    <r>
      <rPr>
        <b/>
        <sz val="12"/>
        <rFont val="Times New Roman"/>
        <family val="1"/>
      </rPr>
      <t>Коригування проектно-кошторисної документаці</t>
    </r>
    <r>
      <rPr>
        <sz val="12"/>
        <rFont val="Times New Roman"/>
        <family val="1"/>
      </rPr>
      <t>ї для виконання робіт з реставрації фасаду будівлі.</t>
    </r>
  </si>
  <si>
    <t>150201
3122</t>
  </si>
  <si>
    <r>
      <t xml:space="preserve">Виготовлення проектно-кошторисної документації </t>
    </r>
    <r>
      <rPr>
        <sz val="12"/>
        <rFont val="Times New Roman"/>
        <family val="1"/>
      </rPr>
      <t>для виконання робіт з будівництва котельні.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</si>
  <si>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</si>
  <si>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
За давністю експлуатації з мурування стін вивітрюється розчин, що негативно впливає на дотриманні температурного режиму в спальних приміщеннях.</t>
    </r>
  </si>
  <si>
    <r>
      <rPr>
        <b/>
        <sz val="12"/>
        <rFont val="Times New Roman"/>
        <family val="1"/>
      </rPr>
      <t>Виготовлення проектно-кошторисної документації</t>
    </r>
    <r>
      <rPr>
        <sz val="12"/>
        <rFont val="Times New Roman"/>
        <family val="1"/>
      </rPr>
      <t xml:space="preserve"> для виконання робіт з капітального ремонту покрівлі.
За приписом Державної інспекції навчальних закладів України.</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</si>
  <si>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покрівлі.
Відповідно до технічного звіту конструкції перебувають у технічно - 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</si>
  <si>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спортивного залу.
Впровадження проекту надасть можливість забезпечити належні санітарно-гігієнічні умови для вихованців школи-інтернату.</t>
    </r>
  </si>
  <si>
    <t>В навчальному корпусі відсутні внутрішні туалети. Відповідно до санітарних норм і правил заклад повинен бути облаштований  внутрішніми санітарними вузлами.
Завершення робіт.</t>
  </si>
  <si>
    <r>
      <t xml:space="preserve">Фасад будівлі перебуває в жахливому стані. На стінах маються щілини, відшарування штукатурки. 
</t>
    </r>
    <r>
      <rPr>
        <b/>
        <sz val="12"/>
        <rFont val="Times New Roman"/>
        <family val="1"/>
      </rPr>
      <t>Проектно-кошторисна документація в стадії розроблення УКБ.</t>
    </r>
  </si>
  <si>
    <r>
      <t xml:space="preserve">Виготовлення проектно-кошторисної документації </t>
    </r>
    <r>
      <rPr>
        <b/>
        <sz val="12"/>
        <rFont val="Times New Roman"/>
        <family val="1"/>
      </rPr>
      <t>(залишок ПКД та експертиза -143,219 тис. грн.</t>
    </r>
    <r>
      <rPr>
        <sz val="12"/>
        <rFont val="Times New Roman"/>
        <family val="1"/>
      </rPr>
      <t xml:space="preserve">) для 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</si>
  <si>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 xml:space="preserve">та виконаня робіт з заміни мережі теплопостачання дасть можливість забеспечення теплового режиму в приміщеннях.                                  </t>
    </r>
  </si>
  <si>
    <r>
      <rPr>
        <b/>
        <sz val="12"/>
        <rFont val="Times New Roman"/>
        <family val="1"/>
      </rPr>
      <t>Виготовлення проектно-кошторисної документації</t>
    </r>
    <r>
      <rPr>
        <sz val="12"/>
        <rFont val="Times New Roman"/>
        <family val="1"/>
      </rPr>
      <t xml:space="preserve"> для виконання робіт по ремонту будівлі:
- ремонт покрівлі;
- заміна каналізації;
- заміна віконних заповнень.</t>
    </r>
  </si>
  <si>
    <r>
      <rPr>
        <b/>
        <sz val="12"/>
        <rFont val="Times New Roman"/>
        <family val="1"/>
      </rPr>
      <t>Виготовлення проектно-кошторисної документації</t>
    </r>
    <r>
      <rPr>
        <sz val="12"/>
        <rFont val="Times New Roman"/>
        <family val="1"/>
      </rPr>
      <t xml:space="preserve"> та виконаня робіт з ремонту покрівлі будівлі та заміни дерев’яних віког га металопластикові, що сприятиме збереженню фонду будівлі закладу та енергозбереженню.</t>
    </r>
  </si>
  <si>
    <r>
      <rPr>
        <b/>
        <sz val="12"/>
        <rFont val="Times New Roman"/>
        <family val="1"/>
      </rPr>
      <t>Коригування проектно-кошторисної документації</t>
    </r>
    <r>
      <rPr>
        <sz val="12"/>
        <rFont val="Times New Roman"/>
        <family val="1"/>
      </rPr>
      <t xml:space="preserve"> та виконання робіт з капітального ремонту.
Невідповідність приміщень до санітарних норм. Необхідно поліпшити технічний стан лікарні, умови перебування хворих та підвищити енергозбереження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</si>
  <si>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покрівлі.
Забезпечення безпечної експлуатації приміщень.</t>
    </r>
  </si>
  <si>
    <r>
      <rPr>
        <b/>
        <sz val="12"/>
        <rFont val="Times New Roman"/>
        <family val="1"/>
      </rPr>
      <t>Виготовлення проектно-кошторисної документації</t>
    </r>
    <r>
      <rPr>
        <sz val="12"/>
        <rFont val="Times New Roman"/>
        <family val="1"/>
      </rPr>
      <t xml:space="preserve">
Капітальний ремонт не проводився 30 років в зазначеному підрозділі, що порушує санітарні вимоги до інфекційних стаціонарів</t>
    </r>
  </si>
  <si>
    <r>
      <rPr>
        <b/>
        <sz val="12"/>
        <rFont val="Times New Roman"/>
        <family val="1"/>
      </rPr>
      <t>Виготовлення проектно-кошторисної документації</t>
    </r>
    <r>
      <rPr>
        <sz val="12"/>
        <rFont val="Times New Roman"/>
        <family val="1"/>
      </rPr>
      <t xml:space="preserve"> для проведення капітального ремонту відділення</t>
    </r>
  </si>
  <si>
    <t>Будівля знаходиться в аварійному стані. Для уникнення аварійно-небезпечних ситуацій, які можуть загрожувати життю дітей та працівників санаторію.</t>
  </si>
  <si>
    <t xml:space="preserve">Капітальний ремонт школи Миколаївського обласного дитячого кардіоревматологічного санаторію "Південний" </t>
  </si>
  <si>
    <r>
      <rPr>
        <b/>
        <sz val="12"/>
        <rFont val="Times New Roman"/>
        <family val="1"/>
      </rPr>
      <t xml:space="preserve">Виготовлення проектно-кошторисної документації </t>
    </r>
    <r>
      <rPr>
        <sz val="12"/>
        <rFont val="Times New Roman"/>
        <family val="1"/>
      </rPr>
      <t xml:space="preserve">
Аварійний стан покрівлі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</si>
  <si>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</si>
  <si>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rPr>
        <b/>
        <sz val="12"/>
        <rFont val="Times New Roman"/>
        <family val="1"/>
      </rPr>
      <t>Коригування проектно-кошторисної документації</t>
    </r>
    <r>
      <rPr>
        <sz val="12"/>
        <rFont val="Times New Roman"/>
        <family val="1"/>
      </rPr>
      <t xml:space="preserve"> та завершення робіт по утепленню фасадів мінераловатними плитами, цоколю, елементів фундаменту, влаштування відмощення.</t>
    </r>
  </si>
  <si>
    <r>
      <rPr>
        <b/>
        <sz val="12"/>
        <rFont val="Times New Roman"/>
        <family val="1"/>
      </rPr>
      <t xml:space="preserve">Коригування проектно-кошторисної документації </t>
    </r>
    <r>
      <rPr>
        <sz val="12"/>
        <rFont val="Times New Roman"/>
        <family val="1"/>
      </rPr>
      <t>та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</si>
  <si>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лазні.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</si>
  <si>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Аварійний стан будівлі харчоблоку.</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</si>
  <si>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</si>
  <si>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</si>
  <si>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Незадовільний технічний стан елементів приміщень</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</si>
  <si>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санвузлів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</si>
  <si>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та комунікацій харчоблоку</t>
    </r>
  </si>
  <si>
    <t>Виготовлення проектно-кошторисної документації.</t>
  </si>
  <si>
    <r>
      <rPr>
        <b/>
        <sz val="12"/>
        <rFont val="Times New Roman"/>
        <family val="1"/>
      </rPr>
      <t xml:space="preserve">Виготовлення проектно-кошторисної документації </t>
    </r>
    <r>
      <rPr>
        <sz val="12"/>
        <rFont val="Times New Roman"/>
        <family val="1"/>
      </rPr>
      <t>та виконання робіт з капітального ремонту приміщень 2-го поверху та сходової клітини театру, а саме: 
- оздоблення приміщень;
- ремонт внутрішніх мереж водопостачання, теплопостачання та каналізації;
- заміна внутрішніх електромереж та електроосвітлення;
- встановлення електричних дзвінків.</t>
    </r>
  </si>
  <si>
    <r>
      <rPr>
        <b/>
        <sz val="12"/>
        <rFont val="Times New Roman"/>
        <family val="1"/>
      </rPr>
      <t>Виготовлення проектно-кошторисної документації</t>
    </r>
    <r>
      <rPr>
        <sz val="12"/>
        <rFont val="Times New Roman"/>
        <family val="1"/>
      </rPr>
      <t xml:space="preserve"> та виконання ремонтно-відновлювальних робіт покриття набережної.</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</si>
  <si>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приміщень туалету, що відповідатиме санітарно-гігієнічним нормам.</t>
    </r>
  </si>
  <si>
    <r>
      <t xml:space="preserve">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
</t>
    </r>
    <r>
      <rPr>
        <b/>
        <sz val="12"/>
        <rFont val="Times New Roman"/>
        <family val="1"/>
      </rPr>
      <t>Проектно-кошторисна документація в стадії розроблення УКБ.</t>
    </r>
  </si>
  <si>
    <r>
      <rPr>
        <b/>
        <sz val="12"/>
        <rFont val="Times New Roman"/>
        <family val="1"/>
      </rPr>
      <t>Коригування проектно-кошторисної документацію</t>
    </r>
    <r>
      <rPr>
        <sz val="12"/>
        <rFont val="Times New Roman"/>
        <family val="1"/>
      </rPr>
      <t xml:space="preserve"> та завершення робіт із санації будівлі.</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</si>
  <si>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фонтану з освітленням та звуковим супроводом.</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</si>
  <si>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приміщень:  сценічного комплексу, фойє ІІ поверху, системи димомидалення та пожежогасіння.</t>
    </r>
  </si>
  <si>
    <r>
      <rPr>
        <b/>
        <sz val="12"/>
        <rFont val="Times New Roman"/>
        <family val="1"/>
      </rPr>
      <t>Кошти на виготовлення проектно-кошторисної документації</t>
    </r>
    <r>
      <rPr>
        <sz val="12"/>
        <rFont val="Times New Roman"/>
        <family val="1"/>
      </rPr>
      <t xml:space="preserve"> для проведення експертизи.Фасад будівлі перебуває в жахливому стані. На стінах маються щілини, відшарування штукатурки. </t>
    </r>
  </si>
  <si>
    <r>
      <rPr>
        <b/>
        <sz val="12"/>
        <rFont val="Times New Roman"/>
        <family val="1"/>
      </rPr>
      <t xml:space="preserve">Кошти на виготовлення проектно-кошторисної документації </t>
    </r>
    <r>
      <rPr>
        <sz val="12"/>
        <rFont val="Times New Roman"/>
        <family val="1"/>
      </rPr>
      <t xml:space="preserve">для проведення експертизи.Фасад будівлі перебуває в жахливому стані. На стінах маються щілини, відшарування штукатурки. </t>
    </r>
  </si>
  <si>
    <t>ПЕРЕЛІК
об’єктів і заходів, які додатково пропонуються до фінансування за рахунок коштів  субвенції з державного бюджету місцевим бюджетам на фінансування заходів щодо соціально-економічного розвитку окремих територій у 2016 роців</t>
  </si>
  <si>
    <t>Залишок на 01.10.2016, тис.грн.</t>
  </si>
  <si>
    <t>Пропозиції до фінансування на 2016 рік, тис.грн.</t>
  </si>
  <si>
    <t>Капітальний ремонт відділення тепловодолікування - відновлення басейну обласної лікарні відновного лікування по вул.Велика Морська, 27 в м. Миколаєві (в т.ч. коригування проектно-кошторисної документації та проведення експертизи)</t>
  </si>
  <si>
    <t xml:space="preserve">Коригування проектно-кошторисної документації та завершення капітального ремонту приміщення гідропатії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
</t>
  </si>
  <si>
    <t>Проект передбачає посилення несучих конструкцій під залом гідропатії та завершення капітального ремонту приміщення гідропатії, в подальшому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t>
  </si>
  <si>
    <t>110204
3132</t>
  </si>
  <si>
    <t>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</si>
  <si>
    <t>Система опалдення потребує реконструкції, дуже стара. Для виконання енергозберігаючих заходів.</t>
  </si>
  <si>
    <t>Проектно-кошторисна документація в стадії розроблення. Нет проекта - через 2 недели 300,000</t>
  </si>
  <si>
    <t>Навчальний корпус вищого музичного училища, м.Миколаїв - реконструкція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</si>
  <si>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 та виконання робіт з реконструкції покрівлі, фасаду та внутрішніх приміщень музичного училища.</t>
    </r>
  </si>
  <si>
    <t>Реконструкція будівлі Миколаївського академічного українського театру драми та музичної комедії по вуд. Дунаєва, 59 в м. Миколаєві (в т.ч. коригування проектно-кошторисної документації та проведення експертизи)</t>
  </si>
  <si>
    <t>Реконструкція системи опалення Миколаївської спеціальнім загальноосвітньої школі-інтернату №6 ІІІ ступенів Миколаївської обласної ради по вул Рибна, 95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</si>
  <si>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t>
    </r>
  </si>
  <si>
    <t>Коригування проектно-кошторисної документації.</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</si>
  <si>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</si>
  <si>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 xml:space="preserve">Реконструкція даху, вентиляції і утеплення будівель, заміні теплових мереж ІІ корпусу будинку, що дасть можливість економії бюджетних коштів на опаленні та забеспечення теплового режиму в приміщеннях.                                  </t>
  </si>
  <si>
    <t xml:space="preserve">Капітальний ремонт та утеплення фасаду будівлі учбового корпусу Вищого училища фізкультури Миколаївської обласної ради, по вул. Чигрина,41 м. Миколаєва </t>
  </si>
  <si>
    <t xml:space="preserve">Фасад будівлі перебуває в жахливому стані. На стінах маються щілини, відшарування штукатурки. </t>
  </si>
  <si>
    <t>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</si>
  <si>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t>Капітальний ремонт будівлі обласного інституту післядипломної педагогічної освіти по вул. Адміральська, 4-А у м. Миколаєві</t>
  </si>
  <si>
    <t>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t>
  </si>
  <si>
    <t>Кошти обласного бюджету розвитку для спрямування  на співфінансування об’єктів за напрямами і заходами, що будуть визначені  окремими нормативно-правовими актами Кабінету Міністрів України за рахунок коштів державного бюджету</t>
  </si>
  <si>
    <t>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t>
  </si>
  <si>
    <t>Виконання робіт з реконструкції покрівлі, фасаду та внутрішніх приміщень музичного училища (в т.ч. коригування проектно-кошторисної документації)</t>
  </si>
  <si>
    <t>Будівля знаходисть в незадовільному стані, необхідно терміново виконати роботи з реконструкції покрівлі, реставрвції фасаду, заміни інженерних мереж (в т.ч. виготовлення проектно-кошторисної документації)</t>
  </si>
  <si>
    <t>Коригування проектно-кошторисної документацію та завершення робіт із санації будівлі.</t>
  </si>
  <si>
    <t>Обладнання котельні витратило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дасть можливість зменшити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Водопостачання на котельню здійснюється від власної свердловини. За низької якості води котли виходять з ладу. Проектом передбачено встановлення системи ощищення води.</t>
  </si>
  <si>
    <t>Пропозиції до фінансування на 2018 рік, тис.грн.</t>
  </si>
  <si>
    <t>Пропозиції до фінансування на 2019 рік, тис.грн.</t>
  </si>
  <si>
    <t>080205
3132</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</si>
  <si>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 4Б в м.Миколаєві</t>
  </si>
  <si>
    <t>Капітальний ремонт школи Миколаївського обласного дитячого санаторію "Південний" по вул. Спортивній, 19 в м. миколаєві</t>
  </si>
  <si>
    <t>Реконструкція Миколаївської загальноосвітньої школи-інтернату № 3 І-ІІІ ступенів Миколаївської обласної ради по вул. 1 Слобідська, 74, м.Миколаїв</t>
  </si>
  <si>
    <r>
      <t xml:space="preserve">Санація будівлі комунального закладу культури "Обласний палац культури" за адресою пл. Суднобудівників, 3 в м.Миколаїв (капітальний ремонт) </t>
    </r>
    <r>
      <rPr>
        <sz val="12"/>
        <color indexed="10"/>
        <rFont val="Times New Roman"/>
        <family val="1"/>
      </rPr>
      <t>(в т.ч. коригування проектно-кошторисної документації та проведення експертизи)</t>
    </r>
  </si>
  <si>
    <t xml:space="preserve">ПЕРЕЛІК
об’єктів і заходів, які пропонуються до фінансування за рахунок коштів бюджету розвитку обласного бюджету в 2017 році </t>
  </si>
  <si>
    <t>Реконструкція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</si>
  <si>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Рік початку будівництва</t>
  </si>
  <si>
    <t>Залишок на 01.01.2018, тис.грн.</t>
  </si>
  <si>
    <t>Пропозиції до додаткового фінансування на 2018 рік, тис.грн.</t>
  </si>
  <si>
    <t>Пропозиції до фінансування на 2020 рік, тис.грн.</t>
  </si>
  <si>
    <t>КПКВК
КЕКВ</t>
  </si>
  <si>
    <t>Підстави та обгрунтування видатків та очікувані результати</t>
  </si>
  <si>
    <t>Найменування об’єкта, місцезнаходження</t>
  </si>
  <si>
    <t>Проектна потуж-ність, відповід-них одиниць</t>
  </si>
  <si>
    <t>Наявність проектно-кошторис-ної документа-ції та висновку держбудекспертизи (дата, №)</t>
  </si>
  <si>
    <t>Дата затвердження проектно-кошторисної документації та найменування відповідного органу державної влади</t>
  </si>
  <si>
    <t>ПЕРЕЛІК
об’єктів і заходів, які пропонуються до фінансування за рахунок коштів бюджету розвитку обласного бюджету в 2018 році та наступні за плановим два бюджетні періоди</t>
  </si>
  <si>
    <t>4716310
3142</t>
  </si>
  <si>
    <t>4716310
3122</t>
  </si>
  <si>
    <t>4716330
3142</t>
  </si>
  <si>
    <t>Реконструкція котельні та теплових мереж з впровадженням енергозберігаючих технологій Лисогірської спеціальної загальноосвітньої школи-інтернату  Первомайського району Миколаївської області</t>
  </si>
  <si>
    <t>Будівництво топкової з впровадженням енергозберігаючих технологій Новопетрівської спеціальної загальноосвітньої школи-інтернату  Снігурівського району Миколаївської області</t>
  </si>
  <si>
    <t>4716330
3122</t>
  </si>
  <si>
    <t>3 котла</t>
  </si>
  <si>
    <t>2 котла</t>
  </si>
  <si>
    <t>Форма власності</t>
  </si>
  <si>
    <t>кому-нальна</t>
  </si>
  <si>
    <t>Проектно-кошторисна документація в стадії розроблення УКБ.</t>
  </si>
  <si>
    <t>МК 143163142048 від 09.11.2016</t>
  </si>
  <si>
    <t>Всього</t>
  </si>
  <si>
    <t>в т.ч. виготовлення (коригування) проектно-кошторисної документації</t>
  </si>
  <si>
    <t>Наказ УКБ ОДА від №</t>
  </si>
  <si>
    <t>ПКД, звіт від №</t>
  </si>
  <si>
    <t>ПКД, 
звіт від 10.02.2016 № 15-0029-16</t>
  </si>
  <si>
    <t>311 осіб</t>
  </si>
  <si>
    <t>Наказ УКБ ОДА від 10.02.2016 № 18</t>
  </si>
  <si>
    <r>
      <rPr>
        <b/>
        <sz val="12"/>
        <rFont val="Times New Roman"/>
        <family val="1"/>
      </rPr>
      <t xml:space="preserve">Виготовлення проектно-кошторисної документації. </t>
    </r>
    <r>
      <rPr>
        <sz val="12"/>
        <rFont val="Times New Roman"/>
        <family val="1"/>
      </rPr>
      <t>Котли морально та фізично застарілі, низкий КПД. За експлуатаційного терміну обладнання котельні потребує модернізації. Впровадження проекту буде сприяти економії бюджетних коштів на енергоносії та створенню комфортних умов для вихованців закладу.</t>
    </r>
  </si>
  <si>
    <t>Капітальний ремонт спортивного залу Володимирівської загальноосвітньої школи-інтернату Миколаївської обласної ради, с. Володимирівка Казанківського району</t>
  </si>
  <si>
    <t>Реконструкція котельні з впровадженням енергозберігаючих технологій Антонівської загальноосвітньої школи-інтернату І-ІІІ ступенів Миколаївської обласної ради, с. Антонівка Новоодеського району</t>
  </si>
  <si>
    <t>4711040
3132</t>
  </si>
  <si>
    <t>Утеплення будівлі учбового корпусу Миколаївської загальноосвітньої санаторної школи-інтернату І-ІІІ ступенів № 4 Миколаївської обласної ради , м. Миколаїв, вул Адміральська, 4</t>
  </si>
  <si>
    <t>Реконструкція покрівлі спальних корпусів Шевченківської загальноосвітньої школи-інтернату Миколаївської обласної ради, с. Шевченкове Вітовського району</t>
  </si>
  <si>
    <t>Будівництво спортивного майданчику на території Мішково-Погорілівської загальноосвітньої санаторної школи-інтернату I-III ступенів Миколаївської обласної ради по вул. Маяковського, 129 у с.Мішково-Погорілове, Жовтневого району Миколаївської області</t>
  </si>
  <si>
    <t>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t>
  </si>
  <si>
    <t>4711070
3132</t>
  </si>
  <si>
    <t>Капітальний ремонт спального корпусу з термосанацією будівлі Привільненської спеціальної загальноосвітньої школи-інтернату  Миколаївської обласної ради, с. Привільне  Баштанського району</t>
  </si>
  <si>
    <t>Капітальний ремонт системи водопостачання Миколаївського обласного  еколого-натуралістичного центру учнівської молоді Миколаївської обласної ради, м. Миколаїв, пр. Героїв України,1</t>
  </si>
  <si>
    <t>4711210
3132</t>
  </si>
  <si>
    <t>4716421
3142</t>
  </si>
  <si>
    <t>Навчальний корпус вищого музичного училища, м.Миколаїв - реконструкція (реконструкція житлового будинку для розміщення навчального корпусу Миколаївського Державного вищого музичного училища за адресою вул.Соборна, 10а у м.Миколаєві)</t>
  </si>
  <si>
    <t>Наказ УКБ ОДА від 11.09.17 №71</t>
  </si>
  <si>
    <r>
      <t>480 м</t>
    </r>
    <r>
      <rPr>
        <vertAlign val="superscript"/>
        <sz val="12"/>
        <rFont val="Times New Roman"/>
        <family val="1"/>
      </rPr>
      <t>2</t>
    </r>
  </si>
  <si>
    <t>Виконання робіт з реконструкції покрівлі, фасаду та внутрішніх приміщень музичного училища</t>
  </si>
  <si>
    <t>ПКД, 
№ 15-0978-15 від 12.02.2016</t>
  </si>
  <si>
    <t>Завершення робіт з будівництво спортивних майданчиків: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</si>
  <si>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ПКД, 
№ 15-0384-17 від 22.08.2017</t>
  </si>
  <si>
    <t>Наказ УКБ ОДА від 16.02.16 №22</t>
  </si>
  <si>
    <r>
      <t>3169,4 м</t>
    </r>
    <r>
      <rPr>
        <vertAlign val="superscript"/>
        <sz val="12"/>
        <rFont val="Times New Roman"/>
        <family val="1"/>
      </rPr>
      <t>2</t>
    </r>
  </si>
  <si>
    <t>ПКД, 
№ 15-1015-15 від 26.01.2016</t>
  </si>
  <si>
    <t>Наказ УКБ ОДА від 26.01.16 №10</t>
  </si>
  <si>
    <r>
      <t>1030,0 м</t>
    </r>
    <r>
      <rPr>
        <vertAlign val="superscript"/>
        <sz val="12"/>
        <rFont val="Times New Roman"/>
        <family val="1"/>
      </rPr>
      <t>2</t>
    </r>
  </si>
  <si>
    <t>4716380
3142</t>
  </si>
  <si>
    <t>ПКД,
№ 01/764 від 11.11.2011</t>
  </si>
  <si>
    <t>Наказ УКБ ОДА від 11.11.2011 №149</t>
  </si>
  <si>
    <r>
      <t>6408 м</t>
    </r>
    <r>
      <rPr>
        <vertAlign val="superscript"/>
        <sz val="12"/>
        <rFont val="Times New Roman"/>
        <family val="1"/>
      </rPr>
      <t>2</t>
    </r>
  </si>
  <si>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t>
  </si>
  <si>
    <t>Миколаївський обласний художній музей ім. В.В. Верещагіна по вул.Велика Морська, 47 у м. Миколаєві (реставрація). Будівля громадського призначення</t>
  </si>
  <si>
    <t>ПКД,
№ 15-0787-15 від 28.10.2015</t>
  </si>
  <si>
    <r>
      <t>948,5 м</t>
    </r>
    <r>
      <rPr>
        <vertAlign val="superscript"/>
        <sz val="12"/>
        <rFont val="Times New Roman"/>
        <family val="1"/>
      </rPr>
      <t>2</t>
    </r>
  </si>
  <si>
    <t>Реставрація приміщень Миколаївської обласної дитячо-юнацької спортивної школи "Обласний шахово-шашковий клуб" імені М.В.Шелеста</t>
  </si>
  <si>
    <t>ПКД,
№ 15-0442-17 (15-0152-17) від 02.08.2017</t>
  </si>
  <si>
    <t>Наказ УКБ ОДА від 29.10.2015 №126</t>
  </si>
  <si>
    <r>
      <t>524 м</t>
    </r>
    <r>
      <rPr>
        <vertAlign val="superscript"/>
        <sz val="12"/>
        <rFont val="Times New Roman"/>
        <family val="1"/>
      </rPr>
      <t>3</t>
    </r>
  </si>
  <si>
    <t>Наказ УКБ ОДА від 15.09.2017 №77</t>
  </si>
  <si>
    <t>Виконання робіт з реставрації, приміщень та тераси, покрівлі будівліщо сприятиме збереженню фонду будівлі закладу, поліпшить умови фізичного виховання молоді та проведення змагань та чемпіонатів.</t>
  </si>
  <si>
    <t>Реставрація приміщень Державної обласної універсальної наукової бібліотеки ім. О.Гмирьова по вул Московська, 9  у м.Миколаєві (в тому числі виготовлення проектно-кошторисної документації та проведення експертизи)</t>
  </si>
  <si>
    <t xml:space="preserve">Санація будівлі комунального закладу культури "Обласний палац культури" за адресою: пл. Суднобудівників, 3 в м.Миколаєві (Капітальний ремонт)"Коригування </t>
  </si>
  <si>
    <t>ПКД,
№ 15-0117-17 від 09.06.2017</t>
  </si>
  <si>
    <t>4714090
3132</t>
  </si>
  <si>
    <t>Наказ УКБ ОДА від 12.06.2017 №43</t>
  </si>
  <si>
    <r>
      <t>41181,5 м</t>
    </r>
    <r>
      <rPr>
        <vertAlign val="superscript"/>
        <sz val="12"/>
        <rFont val="Times New Roman"/>
        <family val="1"/>
      </rPr>
      <t>3</t>
    </r>
  </si>
  <si>
    <t>Завершення робіт із санації будівлі.</t>
  </si>
  <si>
    <t>4715033
3132</t>
  </si>
  <si>
    <t>ПКД,
№ 15-0170-16 від 27.04.2016</t>
  </si>
  <si>
    <t>Наказ УКБ ОДА від 27.04.2016 №50</t>
  </si>
  <si>
    <r>
      <t>832,6 м</t>
    </r>
    <r>
      <rPr>
        <vertAlign val="superscript"/>
        <sz val="12"/>
        <rFont val="Times New Roman"/>
        <family val="1"/>
      </rPr>
      <t>2</t>
    </r>
  </si>
  <si>
    <t>4715031
3132</t>
  </si>
  <si>
    <t>ПКД,
№ 15-0355-16 від 13.07.2016</t>
  </si>
  <si>
    <t>Наказ УКБ ОДА від 23.03.2016 №34</t>
  </si>
  <si>
    <r>
      <t>2875,20 м</t>
    </r>
    <r>
      <rPr>
        <vertAlign val="superscript"/>
        <sz val="12"/>
        <rFont val="Times New Roman"/>
        <family val="1"/>
      </rPr>
      <t>2</t>
    </r>
  </si>
  <si>
    <t>4712070
3132</t>
  </si>
  <si>
    <t>Капітальний ремонт школи Миколаївського обласного дитячого санаторію "Південний" по вул.Спортивній, 19 в м.Миколаєві</t>
  </si>
  <si>
    <t>ПКД,
№ 15-0995-15 від 22.12.2015</t>
  </si>
  <si>
    <t xml:space="preserve">Капітальний ремонт та утеплення фасаду будівлі навчального корпусу Вищого училища фізичної культури Миколаївської обласної ради, по вул. Чигрина,41 м.Миколаєва </t>
  </si>
  <si>
    <t>4712030
3132</t>
  </si>
  <si>
    <t>ПКД,
№ 15-0019-17 від 06.03.2017</t>
  </si>
  <si>
    <t>Наказ УКБ ОДА від 13.03.2017 №27</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</si>
  <si>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</si>
  <si>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4713102
3132</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</si>
  <si>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</si>
  <si>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4713101
3132</t>
  </si>
  <si>
    <t>Капітальний ремонт санвузла на ІІ поверсі Степівського дитячого будинку-інтерната  за адресою: вул.Леніна, 45, с. Степове, Миколаївського району Миколаївської області (у тому числі виготовлення проектно-кошторисної документації та проведення експертизи)</t>
  </si>
  <si>
    <t>ПКД 
2012 року</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</si>
  <si>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(у тому числі коригування проектно-кошторисної документації та проведення експертизи)</t>
  </si>
  <si>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 Для поліпшення еститичного вигляду фасаду театру та для збереження тепла і підтримки необхідного температурного режиму в приміщеннях театру, що призведе до ефективного економного витрачання енергоресурсів</t>
    </r>
  </si>
  <si>
    <t>вигот.ПКД
2017 року</t>
  </si>
  <si>
    <t>4714020
3132</t>
  </si>
  <si>
    <t>4716421
3122</t>
  </si>
  <si>
    <r>
      <t xml:space="preserve">Виготовлення проектно-кошторисної документації та будівництво другого поверху будівлі пристрою </t>
    </r>
    <r>
      <rPr>
        <sz val="12"/>
        <rFont val="Times New Roman"/>
        <family val="1"/>
      </rPr>
      <t>для складських приміщень (костюмерний цех).</t>
    </r>
  </si>
  <si>
    <r>
      <t xml:space="preserve">Виготовлення проектно-кошторисної документації.
</t>
    </r>
    <r>
      <rPr>
        <sz val="12"/>
        <rFont val="Times New Roman"/>
        <family val="1"/>
      </rPr>
      <t>Незадовільний санітарний стан приміщення, не відповідає нормам збереження рідкісних і цінних видань та бібліотечних фондів. Аварійний стан фасаду будівлі бібліотеки.</t>
    </r>
  </si>
  <si>
    <t>4711120
3131</t>
  </si>
  <si>
    <t xml:space="preserve">Наказ УКБ ОДА від </t>
  </si>
  <si>
    <t>ПКД, експ.звіт № 01/499 (15-00336-13 (мн-кч)) від 19.06.2013</t>
  </si>
  <si>
    <t>Коригування проектно-кршторисної документації.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</si>
  <si>
    <r>
      <rPr>
        <b/>
        <sz val="12"/>
        <rFont val="Times New Roman"/>
        <family val="1"/>
      </rPr>
      <t>Коригування проектно-кршторисної документації.</t>
    </r>
    <r>
      <rPr>
        <sz val="12"/>
        <rFont val="Times New Roman"/>
        <family val="1"/>
      </rPr>
      <t xml:space="preserve">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t>
    </r>
  </si>
  <si>
    <t>ПКД
 2010 року</t>
  </si>
  <si>
    <r>
      <t xml:space="preserve">Виготовлення проектно-кошторисної документації 
</t>
    </r>
    <r>
      <rPr>
        <sz val="12"/>
        <rFont val="Times New Roman"/>
        <family val="1"/>
      </rPr>
      <t>Входить до Плану реалізації Стратегії розвітку Миколаївської області на період 2015-2017 роки. Організація бактеріологічного циклу КДЛ потужністю 22 тис.досліджень на рік. Оперативне реагування на інфекційний процес.</t>
    </r>
  </si>
  <si>
    <t>ПКД 
2011 року</t>
  </si>
  <si>
    <t>Реконструкція радіологічного блоку Миколаївського обласного онкологічного диспансеру по вул.Миколаївській, 18, м.Миколаїв (в т.ч. виготовлення проектно-кошторисної документації та проведення експертизи)</t>
  </si>
  <si>
    <t>ПКД потребує доопрацювання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</si>
  <si>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</si>
  <si>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4712010
3132</t>
  </si>
  <si>
    <t xml:space="preserve">Капітальний ремонт будівлі харчоблоку Миколаївської обласної психіатричної лікарні № 2 по вул. Сєвєрна, 14 в с.Сапетня Миолаївського району Миколаївської області  </t>
  </si>
  <si>
    <t>ПКД, експ.звіт №15-0060-17 від 28.03.2017</t>
  </si>
  <si>
    <t>Наказ УКБ ОДА від 28.03.2017 №29</t>
  </si>
  <si>
    <t>Приведення будівлі до санітарних вимог</t>
  </si>
  <si>
    <r>
      <t xml:space="preserve">Виготовлення проектно-кошторисної документації.
</t>
    </r>
    <r>
      <rPr>
        <sz val="12"/>
        <rFont val="Times New Roman"/>
        <family val="1"/>
      </rPr>
      <t>Виконання робіт з реконструкції системи опалення. Незадовідьний технічний стан системи опалення.</t>
    </r>
  </si>
  <si>
    <t>Капітальний ремонт м'якої покрівлі складських будівель складу № 1082 по вул. Гагаріна, 21 м. Миколаєва обласної бази спеціального медичного постачання (у тому числі коригування проектно-кошторисної документації та проведення експертизи)</t>
  </si>
  <si>
    <t>4712220
3132</t>
  </si>
  <si>
    <t>Реконструкція приміщення дезінфекційної камери Миколаївського обласного госпіталю ветеранів війни по  вул. Київська, 1, м.Миколаїв (в т.ч. виготовлення проектно-кошторисної документації та проведення експертизи)</t>
  </si>
  <si>
    <t>ПКД  потребує перерахунку та експертизи</t>
  </si>
  <si>
    <t>Реставрація будівлі Центру ФСМТ, пам’ятник архітектури місцевого значення вул..Спаська,29 в м. Миколаєві  (в т.ч. виготовлення проектно-кошторисної документації та проведення експертизи)</t>
  </si>
  <si>
    <t>4711080
3132</t>
  </si>
  <si>
    <t>150  пос.місць</t>
  </si>
  <si>
    <r>
      <rPr>
        <b/>
        <sz val="12"/>
        <rFont val="Times New Roman"/>
        <family val="1"/>
      </rPr>
      <t>Виготовлення проектно-кошторисної документації.</t>
    </r>
    <r>
      <rPr>
        <sz val="12"/>
        <rFont val="Times New Roman"/>
        <family val="1"/>
      </rPr>
      <t xml:space="preserve">
Забезпечення закладу дезкамерою</t>
    </r>
  </si>
  <si>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 (в т.ч.коригування ПКД)</t>
  </si>
  <si>
    <r>
      <rPr>
        <b/>
        <sz val="12"/>
        <rFont val="Times New Roman"/>
        <family val="1"/>
      </rPr>
      <t>Коригування проектно-кошторисної документації.</t>
    </r>
    <r>
      <rPr>
        <sz val="12"/>
        <rFont val="Times New Roman"/>
        <family val="1"/>
      </rPr>
      <t xml:space="preserve">
Капітальний ремонт покрівлі будівлі.</t>
    </r>
  </si>
  <si>
    <t>В.о. начальника управління капітального будівництва облдержадміністрації</t>
  </si>
  <si>
    <t>О.В. Барбаянова</t>
  </si>
  <si>
    <t>ОСВІТА 
Разом</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</si>
  <si>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</si>
  <si>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Капітальний ремонт та утеплення учбового корпусу Миколаївської загальноосвітньої санаторної школи-інтернату I-III ступенів №7 Миколаївської обласної ради по вул.Бутоми,14а, м.Миколаїв</t>
  </si>
  <si>
    <t>Капітальний ремонт системи опалення Миколаївської спеціальної загальноосвітньої школа-інтернату № 6 І-ІІІ ступенів Миколаївської обласної ради по вул. Рибна, 95 у  м.Миколаєві</t>
  </si>
  <si>
    <t>ПКД,
звіт від 06.03.2017 №15-0029-17</t>
  </si>
  <si>
    <t>4711040
3142</t>
  </si>
  <si>
    <t>Реконструкція топкової з впровадженням енергозберігаючих технологій у Широколанівській спеціальній загальноосвітній школі-інтернаті Веселинівського району Миколаївської обласної ради, с. Широкий Лан</t>
  </si>
  <si>
    <t>Реставраційні  (протиаварійні роботи будівлі ОБХТ) пам’ятник архітектури місцевого значення вул.. Фалєєвська,7 в м. Миколаєві</t>
  </si>
  <si>
    <t>ОХОРОНА ЗДОРОВ’Я
Разом</t>
  </si>
  <si>
    <t>ПКД 2016 потр.кор.та пров.експ.</t>
  </si>
  <si>
    <t>СОЦІАЛЬНИЙ ЗАХИСТ
Разом</t>
  </si>
  <si>
    <t>КУЛЬТУРА
Разом</t>
  </si>
  <si>
    <t>ФІЗКУЛЬТУРА І СПОРТ
Разом</t>
  </si>
  <si>
    <t>4712030
3142</t>
  </si>
  <si>
    <t>ПКД 2015 року</t>
  </si>
  <si>
    <r>
      <rPr>
        <b/>
        <sz val="12"/>
        <rFont val="Times New Roman"/>
        <family val="1"/>
      </rPr>
      <t xml:space="preserve">Коригування проектно-кошторисної документації.
</t>
    </r>
    <r>
      <rPr>
        <sz val="12"/>
        <rFont val="Times New Roman"/>
        <family val="1"/>
      </rPr>
      <t>ПКД 2011 року не відповідає новим державним будівельним нормам.
Будівля знаходиться в аварійному стані. Для уникнення аварійно-небезпечних ситуацій, які можуть загрожувати життю дітей та працівників санаторію.</t>
    </r>
  </si>
  <si>
    <t>ПКД УКБ 2017</t>
  </si>
  <si>
    <t>4711140
3132</t>
  </si>
  <si>
    <t>Капітальний ремонт навчального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t>
  </si>
  <si>
    <t>Реконструкція покрівілі майстерні та пральні Вознесенської спеціальної загальноосвітньої школи-інтернату Миколаївської обласної ради, м. Вознесенськ, вул Пушкінська,30</t>
  </si>
  <si>
    <t>Капітальний ремонт спального корпусу Миколаївської спеціальної загальноосвітньої школи-інтернату № 3 Миколаївської обласної ради, м. Миколаїв, вул Котельна, 117</t>
  </si>
  <si>
    <t>Реконструкція пральні Комунального закладу «Загальноосвітня школа-інтернат І-ІІІ ступенів – центр загальної і профільної освіти та комплексної реабілітації» Миколаївської обласної ради, пр. Миру,15 м. Миколаїв</t>
  </si>
  <si>
    <t>Капітальний ремонт покрівлі та санація будівлі спальних корпусів Очаківської загальноосвітньої санаторної школи-інтернату І-ІІІ ступенів Миколаївської обласної ради, м. Очаків, вул.Лоцманська,56</t>
  </si>
  <si>
    <t>Завершення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</si>
  <si>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r>
      <t xml:space="preserve">Завершення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</si>
  <si>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r>
      <t xml:space="preserve">Обладнння котельні вичерпало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надасть можливість зменьшити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t>
    </r>
    <r>
      <rPr>
        <b/>
        <sz val="12"/>
        <rFont val="Times New Roman"/>
        <family val="1"/>
      </rPr>
      <t>Проектно-кошторисна документація в стадії розроблення УКБ.</t>
    </r>
  </si>
  <si>
    <r>
      <t xml:space="preserve">Введення в експлуатацію топкової та створення комфорних умов для усіх учасників навчально-виховного процесу. Економія енергоносіїв .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</si>
  <si>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та виконання робіт.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t>
    </r>
  </si>
  <si>
    <r>
      <rPr>
        <b/>
        <sz val="12"/>
        <rFont val="Times New Roman"/>
        <family val="1"/>
      </rPr>
      <t>Виготовлення проектно-кошторисної документації</t>
    </r>
    <r>
      <rPr>
        <sz val="12"/>
        <rFont val="Times New Roman"/>
        <family val="1"/>
      </rPr>
      <t>. Виведення з технічно-незадовільного стану будівлі. Буде сприяти збереженню здоров</t>
    </r>
    <r>
      <rPr>
        <sz val="12"/>
        <rFont val="Arial Cyr"/>
        <family val="0"/>
      </rPr>
      <t>*</t>
    </r>
    <r>
      <rPr>
        <sz val="12"/>
        <rFont val="Times New Roman"/>
        <family val="1"/>
      </rPr>
      <t>я та життя дітей.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</si>
  <si>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За  експлуатаційним станом потребує реконструкції. Забезпечення збереження конструктивних елементів будівлі та створенню належних санітарно-технічних умов для учасників навчально-виховного процесу</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</si>
  <si>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  А також для реалізації проекту "Новий освітній простір".</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</si>
  <si>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приміщення існуючої їдальні, яка перебуває в технічно-незадовільному стані та створює загрозу для усіх учасників навчально-виховного процесу. Завершення робіт буде сприяти покращенню харчування та створенню комфортних умов для вихованців закладу.</t>
    </r>
  </si>
  <si>
    <r>
      <rPr>
        <b/>
        <sz val="12"/>
        <rFont val="Times New Roman"/>
        <family val="1"/>
      </rPr>
      <t>Виготовлення проектно-кошторисної документації та виконання робіт.</t>
    </r>
    <r>
      <rPr>
        <sz val="12"/>
        <rFont val="Times New Roman"/>
        <family val="1"/>
      </rPr>
      <t xml:space="preserve">
Мережі водопостачання за експлуатаційного терміну потребують заміни. Перебувають в технічно-незадовільному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</si>
  <si>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встановлення рідйомника для піднімання ліжкохворих дітей на ІІ поверх в кабінет реабілітації і фізпроцедур.</t>
    </r>
  </si>
  <si>
    <r>
      <rPr>
        <b/>
        <sz val="12"/>
        <rFont val="Times New Roman"/>
        <family val="1"/>
      </rPr>
      <t xml:space="preserve">Виготовлення проектно-кошторисної документації </t>
    </r>
    <r>
      <rPr>
        <sz val="12"/>
        <rFont val="Times New Roman"/>
        <family val="1"/>
      </rPr>
      <t>та виконання робіт із звміни санвузла для поліпшення санітано-гігієнічного режиму.</t>
    </r>
  </si>
  <si>
    <r>
      <rPr>
        <b/>
        <sz val="12"/>
        <rFont val="Times New Roman"/>
        <family val="1"/>
      </rPr>
      <t xml:space="preserve">Виготовлення проектно-кошторисної документації </t>
    </r>
    <r>
      <rPr>
        <sz val="12"/>
        <rFont val="Times New Roman"/>
        <family val="1"/>
      </rPr>
      <t xml:space="preserve">для виконання робіт з ремонту. Необхідність дотримання санітарних норм незадовільний технічний стан приміщень </t>
    </r>
  </si>
  <si>
    <r>
      <t xml:space="preserve">Завершення робіт по реконструкції виробничих корпусів (заміна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що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
</t>
    </r>
    <r>
      <rPr>
        <b/>
        <sz val="12"/>
        <rFont val="Times New Roman"/>
        <family val="1"/>
      </rPr>
      <t>Проектно-кошторисна документація в стадії коригування УКБ.</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</si>
  <si>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</si>
  <si>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</si>
  <si>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</si>
  <si>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та система електропостачання.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</si>
  <si>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t>
    </r>
  </si>
  <si>
    <r>
      <rPr>
        <b/>
        <sz val="12"/>
        <rFont val="Times New Roman"/>
        <family val="1"/>
      </rPr>
      <t>Виготовлення проектно-кошторисної документації.</t>
    </r>
    <r>
      <rPr>
        <sz val="12"/>
        <rFont val="Times New Roman"/>
        <family val="1"/>
      </rPr>
      <t xml:space="preserve">
Приміщення пральні перебуває в технічно-незадовільному стані та потребує капітального ремонту. Подовження експлуатаційного терміну будівлі</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</si>
  <si>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та можливість направляти їх на соціально-економічний розвиток області</t>
    </r>
  </si>
  <si>
    <r>
      <rPr>
        <b/>
        <sz val="12"/>
        <rFont val="Times New Roman"/>
        <family val="1"/>
      </rPr>
      <t>Виготовлення проектно-кошторисної документації.</t>
    </r>
    <r>
      <rPr>
        <sz val="12"/>
        <rFont val="Times New Roman"/>
        <family val="1"/>
      </rPr>
      <t xml:space="preserve">
Покрівля перебуває в технічно-незадовільному стані та потребує капітального ремонту. Впровадження проекту забезпечить збереження конструктивних елементів будівлі.</t>
    </r>
  </si>
  <si>
    <t xml:space="preserve">Реконструкція внутрішьобудинкової системи опалення Миколаївської обласної психіатричної лікарні № 2 по вул.Сєвєрна, 14 в с.Сапетня Миолаївського району Миколаївської області  </t>
  </si>
  <si>
    <r>
      <rPr>
        <b/>
        <sz val="12"/>
        <rFont val="Times New Roman"/>
        <family val="1"/>
      </rPr>
      <t>Виготовлення проектно-кошторисної документації.</t>
    </r>
    <r>
      <rPr>
        <sz val="12"/>
        <rFont val="Times New Roman"/>
        <family val="1"/>
      </rPr>
      <t xml:space="preserve">
Незадовільний стан будівлі, внеаслідок заміни вікон утворилися тріщини.</t>
    </r>
  </si>
  <si>
    <t>Капітальний ремонт будівлі загальноосвітньої школи-інтернату I-III ступенів - центр загальної і профільної освіти та комплексної реабілітації Миколаївської обласної ради (в тому числі виготовлення проектно-кошторисної документації та проведення експертизи)</t>
  </si>
  <si>
    <t xml:space="preserve">Завершення робіт з ремонту фасаду будівлі, яка перебуває в жахливому стані. На стінах маються щілини, відшарування штукатурки. </t>
  </si>
  <si>
    <t>Реконструкція покрівлі учбового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</si>
  <si>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Капітальний ремонт будівлі  лазні-пральні Виноградівського психоневрологічного інтернату Баштанського району, Миколаївської області (у тому числі виготовлення проектно-кошторисної документації та проведення експертизи)</t>
  </si>
  <si>
    <t>ПКД на експертизі</t>
  </si>
  <si>
    <r>
      <t xml:space="preserve">Завершення робіт.Будівля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в стадії коригування УКБ.</t>
    </r>
  </si>
  <si>
    <t>Будівництво другого поверху будівлі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</si>
  <si>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Наказ УКБ від 21.11.2016 №153</t>
  </si>
  <si>
    <t>Реконструкція Степівського дитячого будинку-інтерната за адресою: вул.Леніна, 45, с. Степове, Миколаївського району Миколаївської області - встановлення підйомника на ІІ поверх  (у тому числі виготовлення проектно-кошторисної документації та проведення експертизи)</t>
  </si>
  <si>
    <t>Центр перепідготовки та підвищення кваліфікації 
Разом</t>
  </si>
  <si>
    <t>ПКД, звіт від 21.11.2016 №15-0676-16</t>
  </si>
  <si>
    <r>
      <t xml:space="preserve">Усунення просідання будівлі з метою забезпечення безпечної експлуатації. Впровадежння проекту буде сприяти збереженню енергетичних ресурсів і відповідно зменшення викидів парникових газів. Покращенню естетичного вигляду будівлі та створенню комфортних умов для вихованців навчального закладу.
</t>
    </r>
    <r>
      <rPr>
        <b/>
        <sz val="12"/>
        <rFont val="Times New Roman"/>
        <family val="1"/>
      </rPr>
      <t>Проектно-кошторисна документація в стадії розроблення УКБ.</t>
    </r>
  </si>
  <si>
    <t xml:space="preserve">
4711040
3132</t>
  </si>
  <si>
    <t>Реконсрукція майстерень під їдальню Вознесенської загальноосвітньої школи-інтернату І-ІІІ ступенів «Обдарованість» Миколаївської обласної ради, м. Вознесенськ, вул. Соборна,20</t>
  </si>
  <si>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створення умов для патріотичного виховання учнівської молоді</t>
    </r>
  </si>
  <si>
    <t xml:space="preserve">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
</t>
  </si>
  <si>
    <r>
      <t xml:space="preserve">У звязку із застарілою системою опалення виникає неефективність використання палива
</t>
    </r>
    <r>
      <rPr>
        <b/>
        <sz val="12"/>
        <rFont val="Times New Roman"/>
        <family val="1"/>
      </rPr>
      <t>Проектно-кошторисна документація розробляється.</t>
    </r>
  </si>
  <si>
    <r>
      <t>Завершення робіт з утеплення зовнішній стін будівлі, що дасть можливість економії бюджетних коштів на опаленні.</t>
    </r>
    <r>
      <rPr>
        <b/>
        <sz val="12"/>
        <rFont val="Times New Roman"/>
        <family val="1"/>
      </rPr>
      <t xml:space="preserve"> 
Проектно-кошторисна документація на коригуванні.</t>
    </r>
  </si>
  <si>
    <r>
      <t xml:space="preserve">Завершення робіт з ремонту даху, заміні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
</t>
    </r>
    <r>
      <rPr>
        <b/>
        <sz val="12"/>
        <rFont val="Times New Roman"/>
        <family val="1"/>
      </rPr>
      <t>Проектно-кошторисна документація на коригуванні.</t>
    </r>
  </si>
  <si>
    <r>
      <t xml:space="preserve">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розробляється.</t>
    </r>
  </si>
  <si>
    <t>Виконання робіт з капітального ремонту покрівлі, інженерних мереж: електропостачання, водопостачання та водовідведення, системи опалення. Посилення фундаменту, стін, частково перекриття. Утеплення фасаду, заміна вікон та внутрішні оздоблювальні роботи.</t>
  </si>
  <si>
    <t xml:space="preserve">ПЕРЕЛІК
об’єктів і заходів, які пропонуються до фінансування за рахунок коштів бюджету розвитку обласного бюджету в 2018 році </t>
  </si>
  <si>
    <t>4719110
3142</t>
  </si>
  <si>
    <t>Реконструкція очисних споруд каналізації (ОСК) за адресою: смт Ольшанське, вул. Шкільна, 50 Миколаївського району, Миколаївської області</t>
  </si>
  <si>
    <t>Будівництво каналізаційних очисних споруд в ЦРЛ м. Нова Одесса Миколаївської області</t>
  </si>
  <si>
    <t>Реконструкція господарсько-побутової каналізації та очисних споруд каналізації м.Снігурівка</t>
  </si>
  <si>
    <t>Реконструкція споруд очищення стічних вод смт Березанка Березанського району Миколаївської області</t>
  </si>
  <si>
    <t>Реконструкція каналізаційної насосної станції та напірного колектора дитячого садка "Теремок" та загальноосвітньої школи № 1, смт Казанка</t>
  </si>
  <si>
    <t>ПКД, звіт від 17.03.2016 №15-0200-16</t>
  </si>
  <si>
    <t>замовник Новоодеська районна рада</t>
  </si>
  <si>
    <t>Знаходиться на експертизі</t>
  </si>
  <si>
    <r>
      <t xml:space="preserve">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
</t>
    </r>
    <r>
      <rPr>
        <b/>
        <sz val="12"/>
        <color indexed="10"/>
        <rFont val="Times New Roman"/>
        <family val="1"/>
      </rPr>
      <t>Надано до переліку ДФРР. с/ф 10%.</t>
    </r>
  </si>
  <si>
    <r>
      <rPr>
        <b/>
        <sz val="12"/>
        <rFont val="Times New Roman"/>
        <family val="1"/>
      </rPr>
      <t>Коригуванняя проектно-кошторисної документації.</t>
    </r>
    <r>
      <rPr>
        <sz val="12"/>
        <rFont val="Times New Roman"/>
        <family val="1"/>
      </rPr>
      <t xml:space="preserve"> Будівництво на території Мішково-Погорілівської загальноосвітньої санаторної школи-інтернату І-ІІІ ступенів відкритого комбінованого спортивного майданчика зі штучним покриттям, який значно поліпшить стан матеріально-технічної бази навчального закладу і надасть можливість проводити різноманітні навчальні, оздоровчі, розвивальні, профілактичні і відновлювальні заходи з учнями з малими та затухаючими формами туберкульозу на свіжому повітрі протягом  усього навчального року та сприятиме більш ефективній реалізації засвоєння учнями всіх модулів навчальної програми.</t>
    </r>
    <r>
      <rPr>
        <sz val="12"/>
        <color indexed="10"/>
        <rFont val="Times New Roman"/>
        <family val="1"/>
      </rPr>
      <t xml:space="preserve">
</t>
    </r>
    <r>
      <rPr>
        <b/>
        <sz val="12"/>
        <color indexed="10"/>
        <rFont val="Times New Roman"/>
        <family val="1"/>
      </rPr>
      <t>Надано до переліку ДФРР. с/ф 10%.</t>
    </r>
  </si>
  <si>
    <t>Комунальний заклад  «Миколаївський центр 
соціально-психологічної реабілітації дітей» Миколаївської обласної ради
Разом</t>
  </si>
  <si>
    <r>
      <rPr>
        <b/>
        <sz val="12"/>
        <rFont val="Times New Roman"/>
        <family val="1"/>
      </rPr>
      <t>Виготовлення проектно-кошторисної документації.</t>
    </r>
    <r>
      <rPr>
        <sz val="12"/>
        <rFont val="Times New Roman"/>
        <family val="1"/>
      </rPr>
      <t xml:space="preserve">
Будівля закладу знаходиться в аварійному стані. Необхідно терміново провести капітальний ремонт інженерних мереж: систем енергопостачання, ваопостачання та водовідведення, теплопостачання. В аварійному стані перебуває система протипожежного захисту будівлі. Їдальня  та кухня не відповідають санітарним вимогам, що може привести до закриття вцілому закладу.
 Центр отримав попередження Головного Управління Державної Служби України з Надзвичайних Ситуацій У Миколаївській області  та Головного Управління Держпродспоживслужби в Миколаївській області про негайне  усунення порушень  та проведення  капітального ремонту будівлі. У разі невиконання приписів , заклад буде закрито.</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</si>
  <si>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в т.ч.заміна 2 котлів, насосів.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</si>
  <si>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 кухні та залу столової.
Аварійний стан будівлі харчоблоку.</t>
    </r>
  </si>
  <si>
    <t xml:space="preserve">Завершення виконання робіт з реконструкції харчоблоку (загальнобудівельні та оздоблювальні роботи). Закінчення монтажу внутрішніх мереж горячої та холодної води та встановлення санфаянсу в головносу корпусі та терапії.
</t>
  </si>
  <si>
    <t>ПКД,
експ.від 12.09.17</t>
  </si>
  <si>
    <t>Будівництво другого поверху будівлі пристрою для складських приміщень (костюмерний цех).</t>
  </si>
  <si>
    <r>
      <t xml:space="preserve">Виконання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</si>
  <si>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t>Капітальний ремонт м'якої покрівлі складських будівель складу № 1082 по вул. Гагаріна, 21 у м. Миколаєві</t>
  </si>
  <si>
    <r>
      <rPr>
        <b/>
        <sz val="12"/>
        <rFont val="Times New Roman"/>
        <family val="1"/>
      </rPr>
      <t>В</t>
    </r>
    <r>
      <rPr>
        <sz val="12"/>
        <rFont val="Times New Roman"/>
        <family val="1"/>
      </rPr>
      <t>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</si>
  <si>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t>Реконструкція радіологічного блоку Миколаївського обласного онкологічного диспансеру по вул.Миколаївській, 18, м.Миколаїв</t>
    </r>
    <r>
      <rPr>
        <sz val="12"/>
        <color indexed="10"/>
        <rFont val="Times New Roman"/>
        <family val="1"/>
      </rPr>
      <t xml:space="preserve"> (в т.ч. виготовлення проектно-кошторисної документації та проведення експертизи)</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</si>
  <si>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</si>
  <si>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Капітальний ремонт комунального закладу  «Миколаївський центр соціально-психологічної реабілітації дітей» Миколаївської обласної ради за адресою: вул. Новобузька, 97, м.Миколаів</t>
  </si>
  <si>
    <t>Виконувач обов’язків начальника управління капітального будівництва облдержадміністрації</t>
  </si>
  <si>
    <t>Реконструкція господарсько-побутової каналізації та очисних споруд каналізації м.Снігурівка Миколаївської області (в тому числі коригування проектно-кошторисної документації та проведення експертизи)</t>
  </si>
  <si>
    <t>Реконструкція споруд очищення стічних вод смт. Березанка Миколаївської області (в тому числі коригування проектно-кошторисної документації та проведення експертизи)</t>
  </si>
  <si>
    <t>Реконструкція дамби - переїзду ставка на території Баштанської міської ради Баштанського району Миколаївської області (в тому числі коригування проектно-кошторисної документації та проведення експертизи)</t>
  </si>
  <si>
    <t>Реконструкція каналізаційної насосоної станції Миколаївської  загальноосвітньої школи-інтернату І- ІІІ ступенів № 6 Миколаївської обласної ради по вул. Рибна, 95 у м.Миколаєві (в тому числі коригування проектно-кошторисної документації та проведення експертизи)</t>
  </si>
  <si>
    <t>Реконструкція станції повної біологічної очистки по вул.Мельничній, 1 у м.Нова Одеса Новоодеського району Миколаївської області</t>
  </si>
  <si>
    <t>Реконструкція каналізаційної насосної станції та напірного колектору дитячого садка "Теремок" та загальноосвітньої школи № 1, смт Казанка (в тому числі коригування проектно-кошторисної документації та проведення експертизи)</t>
  </si>
  <si>
    <t>1518340
3142</t>
  </si>
  <si>
    <t>1518340
3210</t>
  </si>
  <si>
    <t xml:space="preserve">ПЕРЕЛІК
об’єктів і заходів, які пропонуються до фінансування за рахунок коштів обласного цільового фонду охорони навколишнього природного середовища обласного бюджету в 2019 році </t>
  </si>
  <si>
    <t>Код Типової програмної класифікації видатків та кредитування місцевих
бюджетів</t>
  </si>
  <si>
    <t>Найменування об'єкта відповідно до проектно- кошторисної документації</t>
  </si>
  <si>
    <t>Строк
реалізації об'єкта (рік
початку і завершення)</t>
  </si>
  <si>
    <t>Обсяг видатків
бюджету розвитку, гривень</t>
  </si>
  <si>
    <t xml:space="preserve">Загальна вартість об'єкта, гривень </t>
  </si>
  <si>
    <t>Рівень
будівельної готовності об'єкта на кінець
бюджетного періоду,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</si>
  <si>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</si>
  <si>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</si>
  <si>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</si>
  <si>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0540</t>
  </si>
  <si>
    <t xml:space="preserve"> 1518340</t>
  </si>
  <si>
    <t xml:space="preserve"> 8340</t>
  </si>
  <si>
    <t>Зміни
(+, -)</t>
  </si>
  <si>
    <t>Видатки з урахуванням змін</t>
  </si>
  <si>
    <t>Управління капітального будівництва облдержадміністрації</t>
  </si>
  <si>
    <t>Код Типової програмної класифікації видатків та кредитування місцевого бюджету</t>
  </si>
  <si>
    <t>УСЬОГО</t>
  </si>
  <si>
    <t>(код бюджету)</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</si>
  <si>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</si>
  <si>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</si>
  <si>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Заступник міського голови з питань діяльності виконавчих органів ради</t>
  </si>
  <si>
    <t>Світлана  ЄВДОЩЕНКО</t>
  </si>
  <si>
    <t>Код Функціональної класифікації видатків та кредитування бюджету</t>
  </si>
  <si>
    <t xml:space="preserve">Обсяги капітальних вкладень бюджету у розрізі інвестиційних проектів у 2022 році
</t>
  </si>
  <si>
    <t>Найменування інвестиційного прооекту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</si>
  <si>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</si>
  <si>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</si>
  <si>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</si>
  <si>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Обсяг капітальних вкладень місцевого бюджету у 2022 році, гривень</t>
  </si>
  <si>
    <t>Очікуваний рівень готовності проекту на кінець 2022 року, %</t>
  </si>
  <si>
    <t>Додаток 5</t>
  </si>
  <si>
    <t xml:space="preserve">до рішення міської ради                            </t>
  </si>
  <si>
    <t xml:space="preserve">                                                                                      2021 р. №</t>
  </si>
  <si>
    <t xml:space="preserve">до рішення міської ради            </t>
  </si>
  <si>
    <t xml:space="preserve">                                                                                     2021 р.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</si>
</sst>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
    <numFmt numFmtId="196" formatCode="0.0%"/>
    <numFmt numFmtId="197" formatCode="_-* #,##0.000_р_._-;\-* #,##0.000_р_._-;_-* &quot;-&quot;??_р_._-;_-@_-"/>
    <numFmt numFmtId="198" formatCode="_-* #,##0.0_р_._-;\-* #,##0.0_р_._-;_-* &quot;-&quot;??_р_._-;_-@_-"/>
    <numFmt numFmtId="199" formatCode="[$-FC19]d\ mmmm\ yyyy\ &quot;г.&quot;"/>
    <numFmt numFmtId="200" formatCode="0.00000"/>
    <numFmt numFmtId="201" formatCode="0.000000"/>
    <numFmt numFmtId="202" formatCode="#,##0.000"/>
    <numFmt numFmtId="203" formatCode="#,##0.0"/>
    <numFmt numFmtId="204" formatCode="#,##0.000_ ;[Red]\-#,##0.000\ "/>
    <numFmt numFmtId="205" formatCode="#,##0.0000"/>
    <numFmt numFmtId="206" formatCode="#,##0.00000"/>
    <numFmt numFmtId="207" formatCode="#,##0.000000"/>
  </numFmts>
  <fonts count="59">
    <font>
      <sz val="10"/>
      <name val="Arial Cyr"/>
      <family val="0"/>
    </font>
    <font>
      <sz val="8"/>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2"/>
      <name val="Arial Cyr"/>
      <family val="0"/>
    </font>
    <font>
      <sz val="11"/>
      <name val="Times New Roman"/>
      <family val="1"/>
    </font>
    <font>
      <b/>
      <sz val="11"/>
      <name val="Times New Roman"/>
      <family val="1"/>
    </font>
    <font>
      <i/>
      <sz val="12"/>
      <name val="Times New Roman"/>
      <family val="1"/>
    </font>
    <font>
      <b/>
      <sz val="12"/>
      <name val="Arial Cyr"/>
      <family val="0"/>
    </font>
    <font>
      <sz val="12"/>
      <color indexed="10"/>
      <name val="Times New Roman"/>
      <family val="1"/>
    </font>
    <font>
      <sz val="11"/>
      <name val="Arial Cyr"/>
      <family val="0"/>
    </font>
    <font>
      <b/>
      <sz val="10"/>
      <name val="Times New Roman"/>
      <family val="1"/>
    </font>
    <font>
      <vertAlign val="superscript"/>
      <sz val="12"/>
      <name val="Times New Roman"/>
      <family val="1"/>
    </font>
    <font>
      <b/>
      <sz val="12"/>
      <color indexed="10"/>
      <name val="Times New Roman"/>
      <family val="1"/>
    </font>
    <font>
      <b/>
      <sz val="14"/>
      <name val="Times New Roman"/>
      <family val="1"/>
    </font>
    <font>
      <sz val="14"/>
      <name val="Times New Roman"/>
      <family val="1"/>
    </font>
    <font>
      <b/>
      <u val="single"/>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
      <sz val="14"/>
      <color rgb="FF000000"/>
      <name val="Times New Roman"/>
      <family val="1"/>
    </font>
    <font>
      <b/>
      <sz val="14"/>
      <color rgb="FF00000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FFC000"/>
        <bgColor indexed="64"/>
      </patternFill>
    </fill>
    <fill>
      <patternFill patternType="solid">
        <fgColor rgb="FF92D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0" fillId="0" borderId="0">
      <alignment/>
      <protection/>
    </xf>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3"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4" fillId="31" borderId="0" applyNumberFormat="0" applyBorder="0" applyAlignment="0" applyProtection="0"/>
  </cellStyleXfs>
  <cellXfs count="165">
    <xf numFmtId="0" fontId="0" fillId="0" borderId="0" xfId="0" applyAlignment="1">
      <alignment/>
    </xf>
    <xf numFmtId="0" fontId="5" fillId="0" borderId="10" xfId="0" applyFont="1" applyFill="1" applyBorder="1" applyAlignment="1">
      <alignment horizontal="center" vertical="center"/>
    </xf>
    <xf numFmtId="0" fontId="4" fillId="0" borderId="11" xfId="0" applyFont="1" applyFill="1" applyBorder="1" applyAlignment="1">
      <alignment vertical="top" wrapText="1"/>
    </xf>
    <xf numFmtId="0" fontId="4" fillId="0" borderId="10" xfId="0" applyFont="1" applyFill="1" applyBorder="1" applyAlignment="1">
      <alignment horizontal="center" vertical="center" wrapText="1"/>
    </xf>
    <xf numFmtId="0" fontId="6" fillId="0" borderId="0" xfId="0" applyFont="1" applyFill="1" applyBorder="1" applyAlignment="1">
      <alignment/>
    </xf>
    <xf numFmtId="0" fontId="4" fillId="0" borderId="11" xfId="0" applyFont="1" applyFill="1" applyBorder="1" applyAlignment="1">
      <alignment horizontal="justify" vertical="top" wrapText="1"/>
    </xf>
    <xf numFmtId="0" fontId="5" fillId="0" borderId="10" xfId="0" applyFont="1" applyFill="1" applyBorder="1" applyAlignment="1">
      <alignment horizontal="justify" vertical="center" wrapText="1"/>
    </xf>
    <xf numFmtId="192" fontId="5" fillId="0" borderId="10" xfId="0" applyNumberFormat="1" applyFont="1" applyFill="1" applyBorder="1" applyAlignment="1">
      <alignment horizontal="center" vertical="center" wrapText="1"/>
    </xf>
    <xf numFmtId="0" fontId="6" fillId="0" borderId="0" xfId="0" applyFont="1" applyFill="1" applyBorder="1" applyAlignment="1">
      <alignment horizontal="justify"/>
    </xf>
    <xf numFmtId="193" fontId="5"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5" fillId="0" borderId="10" xfId="0" applyFont="1" applyFill="1" applyBorder="1" applyAlignment="1">
      <alignment horizontal="justify" vertical="top" wrapText="1"/>
    </xf>
    <xf numFmtId="0" fontId="4" fillId="0" borderId="12" xfId="0" applyFont="1" applyFill="1" applyBorder="1" applyAlignment="1">
      <alignment horizontal="center" vertical="center" wrapText="1"/>
    </xf>
    <xf numFmtId="202" fontId="6" fillId="0" borderId="0" xfId="0" applyNumberFormat="1" applyFont="1" applyFill="1" applyBorder="1" applyAlignment="1">
      <alignment/>
    </xf>
    <xf numFmtId="0" fontId="6" fillId="0" borderId="0" xfId="0" applyFont="1" applyFill="1" applyBorder="1" applyAlignment="1">
      <alignment vertical="center"/>
    </xf>
    <xf numFmtId="2" fontId="5" fillId="0" borderId="10" xfId="0" applyNumberFormat="1" applyFont="1" applyFill="1" applyBorder="1" applyAlignment="1">
      <alignment horizontal="justify" vertical="center" wrapText="1"/>
    </xf>
    <xf numFmtId="0" fontId="4" fillId="0" borderId="11" xfId="0" applyFont="1" applyFill="1" applyBorder="1" applyAlignment="1">
      <alignment horizontal="center" vertical="top" wrapText="1"/>
    </xf>
    <xf numFmtId="0" fontId="6" fillId="0" borderId="0" xfId="0" applyFont="1" applyFill="1" applyBorder="1" applyAlignment="1">
      <alignment horizontal="center"/>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202" fontId="5"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202" fontId="5" fillId="32"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32" borderId="10" xfId="0" applyFont="1" applyFill="1" applyBorder="1" applyAlignment="1">
      <alignment horizontal="justify" vertical="center" wrapText="1"/>
    </xf>
    <xf numFmtId="0" fontId="4" fillId="32"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192" fontId="5"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5" fillId="0" borderId="10" xfId="0" applyFont="1" applyBorder="1" applyAlignment="1">
      <alignment horizontal="justify"/>
    </xf>
    <xf numFmtId="192" fontId="5" fillId="0" borderId="0" xfId="0" applyNumberFormat="1" applyFont="1" applyFill="1" applyBorder="1" applyAlignment="1">
      <alignment horizontal="center" vertical="center" wrapText="1"/>
    </xf>
    <xf numFmtId="193" fontId="5" fillId="0" borderId="10" xfId="0" applyNumberFormat="1" applyFont="1" applyFill="1" applyBorder="1" applyAlignment="1">
      <alignment horizontal="justify" vertical="center" wrapText="1"/>
    </xf>
    <xf numFmtId="0" fontId="6" fillId="0" borderId="11" xfId="0" applyFont="1" applyFill="1" applyBorder="1" applyAlignment="1">
      <alignment horizontal="center"/>
    </xf>
    <xf numFmtId="0" fontId="6" fillId="0" borderId="11" xfId="0" applyFont="1" applyFill="1" applyBorder="1" applyAlignment="1">
      <alignment horizontal="justify"/>
    </xf>
    <xf numFmtId="0" fontId="6" fillId="0" borderId="11" xfId="0" applyFont="1" applyFill="1" applyBorder="1" applyAlignment="1">
      <alignment/>
    </xf>
    <xf numFmtId="0" fontId="5" fillId="33" borderId="10" xfId="0" applyFont="1" applyFill="1" applyBorder="1" applyAlignment="1">
      <alignment horizontal="justify" vertical="center" wrapText="1"/>
    </xf>
    <xf numFmtId="202" fontId="55" fillId="0" borderId="10" xfId="0" applyNumberFormat="1" applyFont="1" applyFill="1" applyBorder="1" applyAlignment="1">
      <alignment horizontal="center" vertical="center" wrapText="1"/>
    </xf>
    <xf numFmtId="0" fontId="55" fillId="0" borderId="10" xfId="0" applyFont="1" applyFill="1" applyBorder="1" applyAlignment="1">
      <alignment horizontal="justify" vertical="top" wrapText="1"/>
    </xf>
    <xf numFmtId="202" fontId="4" fillId="32" borderId="10" xfId="0" applyNumberFormat="1" applyFont="1" applyFill="1" applyBorder="1" applyAlignment="1">
      <alignment horizontal="center" vertical="center" wrapText="1"/>
    </xf>
    <xf numFmtId="0" fontId="4" fillId="32" borderId="11" xfId="0" applyFont="1" applyFill="1" applyBorder="1" applyAlignment="1">
      <alignment vertical="top"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0" xfId="0" applyFont="1" applyFill="1" applyBorder="1" applyAlignment="1">
      <alignment/>
    </xf>
    <xf numFmtId="0" fontId="8"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202" fontId="7" fillId="32" borderId="10" xfId="0" applyNumberFormat="1"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6" fillId="32" borderId="0" xfId="0" applyFont="1" applyFill="1" applyBorder="1" applyAlignment="1">
      <alignment vertical="center"/>
    </xf>
    <xf numFmtId="0" fontId="8" fillId="0" borderId="12" xfId="0" applyFont="1" applyFill="1" applyBorder="1" applyAlignment="1">
      <alignment horizontal="center" vertical="center" wrapText="1"/>
    </xf>
    <xf numFmtId="0" fontId="12" fillId="0" borderId="0" xfId="0" applyFont="1" applyFill="1" applyBorder="1" applyAlignment="1">
      <alignment/>
    </xf>
    <xf numFmtId="1"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13" fillId="0" borderId="12" xfId="0" applyFont="1" applyFill="1" applyBorder="1" applyAlignment="1">
      <alignment horizontal="center" vertical="center" textRotation="90" wrapText="1"/>
    </xf>
    <xf numFmtId="0" fontId="5" fillId="32" borderId="10" xfId="0" applyFont="1" applyFill="1" applyBorder="1" applyAlignment="1">
      <alignment horizontal="center" vertical="center"/>
    </xf>
    <xf numFmtId="0" fontId="5" fillId="32" borderId="10" xfId="0" applyFont="1" applyFill="1" applyBorder="1" applyAlignment="1">
      <alignment horizontal="justify" vertical="top" wrapText="1"/>
    </xf>
    <xf numFmtId="2" fontId="5"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justify" vertical="center" wrapText="1"/>
    </xf>
    <xf numFmtId="194" fontId="5"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2" fontId="4"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justify" vertical="center" wrapText="1"/>
    </xf>
    <xf numFmtId="3"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202" fontId="4" fillId="34" borderId="10" xfId="0" applyNumberFormat="1" applyFont="1" applyFill="1" applyBorder="1" applyAlignment="1">
      <alignment horizontal="center" vertical="center" wrapText="1"/>
    </xf>
    <xf numFmtId="0" fontId="6" fillId="34" borderId="0" xfId="0" applyFont="1" applyFill="1" applyBorder="1" applyAlignment="1">
      <alignment/>
    </xf>
    <xf numFmtId="0" fontId="5" fillId="32" borderId="10"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13" fillId="32" borderId="12" xfId="0" applyFont="1" applyFill="1" applyBorder="1" applyAlignment="1">
      <alignment horizontal="center" vertical="center" textRotation="90" wrapText="1"/>
    </xf>
    <xf numFmtId="0" fontId="5" fillId="32" borderId="0" xfId="0" applyFont="1" applyFill="1" applyBorder="1" applyAlignment="1">
      <alignment horizontal="center" vertical="center"/>
    </xf>
    <xf numFmtId="0" fontId="4" fillId="32" borderId="0" xfId="0" applyFont="1" applyFill="1" applyBorder="1" applyAlignment="1">
      <alignment horizontal="center" vertical="center" wrapText="1"/>
    </xf>
    <xf numFmtId="0" fontId="5" fillId="32" borderId="0" xfId="0" applyFont="1" applyFill="1" applyBorder="1" applyAlignment="1">
      <alignment horizontal="justify" vertical="center" wrapText="1"/>
    </xf>
    <xf numFmtId="0" fontId="5" fillId="32" borderId="0" xfId="0" applyFont="1" applyFill="1" applyBorder="1" applyAlignment="1">
      <alignment horizontal="center" vertical="center" wrapText="1"/>
    </xf>
    <xf numFmtId="1" fontId="5" fillId="32" borderId="0" xfId="0" applyNumberFormat="1" applyFont="1" applyFill="1" applyBorder="1" applyAlignment="1">
      <alignment horizontal="center" vertical="center" wrapText="1"/>
    </xf>
    <xf numFmtId="193" fontId="5" fillId="32" borderId="0" xfId="0" applyNumberFormat="1" applyFont="1" applyFill="1" applyBorder="1" applyAlignment="1">
      <alignment horizontal="center" vertical="center" wrapText="1"/>
    </xf>
    <xf numFmtId="202" fontId="5" fillId="32" borderId="0" xfId="0" applyNumberFormat="1" applyFont="1" applyFill="1" applyBorder="1" applyAlignment="1">
      <alignment horizontal="center" vertical="center" wrapText="1"/>
    </xf>
    <xf numFmtId="202" fontId="5" fillId="32" borderId="10" xfId="0" applyNumberFormat="1" applyFont="1" applyFill="1" applyBorder="1" applyAlignment="1">
      <alignment horizontal="left" vertical="center" wrapText="1"/>
    </xf>
    <xf numFmtId="0" fontId="5" fillId="32" borderId="10" xfId="0" applyNumberFormat="1"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4" fillId="35" borderId="10" xfId="0"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202" fontId="4" fillId="35" borderId="10" xfId="0" applyNumberFormat="1" applyFont="1" applyFill="1" applyBorder="1" applyAlignment="1">
      <alignment horizontal="center" vertical="center" wrapText="1"/>
    </xf>
    <xf numFmtId="193" fontId="4" fillId="35" borderId="10" xfId="0" applyNumberFormat="1" applyFont="1" applyFill="1" applyBorder="1" applyAlignment="1">
      <alignment horizontal="center" vertical="center" wrapText="1"/>
    </xf>
    <xf numFmtId="0" fontId="10" fillId="35" borderId="0" xfId="0" applyFont="1" applyFill="1" applyBorder="1" applyAlignment="1">
      <alignment vertical="center"/>
    </xf>
    <xf numFmtId="194" fontId="5" fillId="32" borderId="10" xfId="0" applyNumberFormat="1" applyFont="1" applyFill="1" applyBorder="1" applyAlignment="1">
      <alignment horizontal="left" vertical="center" wrapText="1"/>
    </xf>
    <xf numFmtId="192" fontId="5" fillId="32" borderId="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0" xfId="0" applyFont="1" applyBorder="1" applyAlignment="1">
      <alignment horizontal="left" vertical="top" wrapText="1"/>
    </xf>
    <xf numFmtId="2" fontId="56" fillId="32" borderId="10" xfId="0" applyNumberFormat="1" applyFont="1" applyFill="1" applyBorder="1" applyAlignment="1">
      <alignment horizontal="center" vertical="center" wrapText="1"/>
    </xf>
    <xf numFmtId="0" fontId="56" fillId="32" borderId="10" xfId="0" applyFont="1" applyFill="1" applyBorder="1" applyAlignment="1">
      <alignment horizontal="center" vertical="center" wrapText="1"/>
    </xf>
    <xf numFmtId="202" fontId="55" fillId="32" borderId="10" xfId="0" applyNumberFormat="1" applyFont="1" applyFill="1" applyBorder="1" applyAlignment="1">
      <alignment horizontal="center" vertical="center" wrapText="1"/>
    </xf>
    <xf numFmtId="202" fontId="56" fillId="32"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2" fontId="5" fillId="36" borderId="10" xfId="0" applyNumberFormat="1" applyFont="1" applyFill="1" applyBorder="1" applyAlignment="1">
      <alignment horizontal="justify" vertical="center" wrapText="1"/>
    </xf>
    <xf numFmtId="2" fontId="5" fillId="36"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202" fontId="5" fillId="36" borderId="10" xfId="0" applyNumberFormat="1" applyFont="1" applyFill="1" applyBorder="1" applyAlignment="1">
      <alignment horizontal="center" vertical="center" wrapText="1"/>
    </xf>
    <xf numFmtId="193" fontId="5" fillId="36" borderId="10" xfId="0" applyNumberFormat="1" applyFont="1" applyFill="1" applyBorder="1" applyAlignment="1">
      <alignment horizontal="center" vertical="center" wrapText="1"/>
    </xf>
    <xf numFmtId="202" fontId="56" fillId="36" borderId="10" xfId="0" applyNumberFormat="1" applyFont="1" applyFill="1" applyBorder="1" applyAlignment="1">
      <alignment horizontal="center" vertical="center" wrapText="1"/>
    </xf>
    <xf numFmtId="0" fontId="5" fillId="36" borderId="10" xfId="0" applyFont="1" applyFill="1" applyBorder="1" applyAlignment="1">
      <alignment horizontal="justify" vertical="center" wrapText="1"/>
    </xf>
    <xf numFmtId="0" fontId="6" fillId="36" borderId="0" xfId="0" applyFont="1" applyFill="1" applyBorder="1" applyAlignment="1">
      <alignment vertical="center"/>
    </xf>
    <xf numFmtId="194" fontId="5" fillId="36" borderId="10" xfId="0" applyNumberFormat="1" applyFont="1" applyFill="1" applyBorder="1" applyAlignment="1">
      <alignment horizontal="center"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left" vertical="center" wrapText="1"/>
    </xf>
    <xf numFmtId="193" fontId="5" fillId="36" borderId="10" xfId="0" applyNumberFormat="1" applyFont="1" applyFill="1" applyBorder="1" applyAlignment="1">
      <alignment horizontal="justify" vertical="center" wrapText="1"/>
    </xf>
    <xf numFmtId="192" fontId="5"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2" xfId="0"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8"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center" vertical="center"/>
    </xf>
    <xf numFmtId="0" fontId="12" fillId="32" borderId="0" xfId="0" applyFont="1" applyFill="1" applyBorder="1" applyAlignment="1">
      <alignment/>
    </xf>
    <xf numFmtId="0" fontId="4" fillId="0" borderId="0" xfId="0" applyFont="1" applyFill="1" applyBorder="1" applyAlignment="1">
      <alignment horizontal="center" vertical="top" wrapText="1"/>
    </xf>
    <xf numFmtId="0" fontId="6" fillId="0" borderId="0" xfId="0" applyFont="1" applyFill="1" applyBorder="1" applyAlignment="1">
      <alignment vertical="top"/>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7" fillId="0" borderId="0" xfId="0" applyFont="1" applyFill="1" applyBorder="1" applyAlignment="1">
      <alignment/>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6" fillId="0" borderId="0" xfId="0" applyFont="1" applyFill="1" applyBorder="1" applyAlignment="1">
      <alignment/>
    </xf>
    <xf numFmtId="4" fontId="6" fillId="0" borderId="0" xfId="0" applyNumberFormat="1" applyFont="1" applyFill="1" applyBorder="1" applyAlignment="1">
      <alignment vertical="top"/>
    </xf>
    <xf numFmtId="0" fontId="57" fillId="0" borderId="10" xfId="0" applyFont="1" applyBorder="1" applyAlignment="1">
      <alignment horizontal="center" vertical="top" wrapText="1"/>
    </xf>
    <xf numFmtId="0" fontId="58" fillId="0" borderId="10" xfId="0" applyFont="1" applyBorder="1" applyAlignment="1">
      <alignment horizontal="center" vertical="top" wrapText="1"/>
    </xf>
    <xf numFmtId="4" fontId="58" fillId="0" borderId="10" xfId="0" applyNumberFormat="1" applyFont="1" applyBorder="1" applyAlignment="1">
      <alignment horizontal="right" vertical="top" wrapText="1"/>
    </xf>
    <xf numFmtId="4" fontId="6" fillId="0" borderId="0" xfId="0" applyNumberFormat="1" applyFont="1" applyFill="1" applyBorder="1" applyAlignment="1">
      <alignment horizontal="center"/>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17" fillId="32" borderId="21" xfId="0" applyFont="1" applyFill="1" applyBorder="1" applyAlignment="1">
      <alignment horizontal="left" vertical="center" wrapText="1"/>
    </xf>
    <xf numFmtId="0" fontId="16"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0" fontId="17" fillId="0" borderId="0" xfId="0" applyFont="1" applyFill="1" applyBorder="1" applyAlignment="1">
      <alignment horizontal="left"/>
    </xf>
    <xf numFmtId="0" fontId="17" fillId="0" borderId="0" xfId="0" applyFont="1" applyFill="1" applyAlignment="1">
      <alignment horizontal="left" vertical="top" indent="31"/>
    </xf>
    <xf numFmtId="0" fontId="17" fillId="0" borderId="0" xfId="0" applyFont="1" applyFill="1" applyAlignment="1">
      <alignment horizontal="left" vertical="top" wrapText="1" indent="31"/>
    </xf>
    <xf numFmtId="0" fontId="17" fillId="0" borderId="0" xfId="0" applyFont="1" applyFill="1" applyAlignment="1">
      <alignment horizontal="center" vertical="top" wrapText="1"/>
    </xf>
    <xf numFmtId="0" fontId="17" fillId="0" borderId="0" xfId="0" applyFont="1" applyFill="1" applyAlignment="1">
      <alignment horizontal="left" vertical="top" wrapText="1" indent="3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sheetPr>
  <dimension ref="A1:J37"/>
  <sheetViews>
    <sheetView zoomScale="70" zoomScaleNormal="70" zoomScaleSheetLayoutView="50" zoomScalePageLayoutView="0" workbookViewId="0" topLeftCell="A3">
      <pane xSplit="3" ySplit="2" topLeftCell="D8" activePane="bottomRight" state="frozen"/>
      <selection pane="topLeft" activeCell="A3" sqref="A3"/>
      <selection pane="topRight" activeCell="D3" sqref="D3"/>
      <selection pane="bottomLeft" activeCell="A5" sqref="A5"/>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8" t="s">
        <v>57</v>
      </c>
      <c r="B1" s="148"/>
      <c r="C1" s="148"/>
      <c r="D1" s="148"/>
      <c r="E1" s="148"/>
      <c r="F1" s="148"/>
      <c r="G1" s="148"/>
      <c r="H1" s="14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SUM(D6:D32)</f>
        <v>223344.29700000005</v>
      </c>
      <c r="E5" s="22">
        <f>SUM(E6:E32)</f>
        <v>174271.37800000006</v>
      </c>
      <c r="F5" s="22" t="s">
        <v>30</v>
      </c>
      <c r="G5" s="22">
        <f>SUM(G6:G32)</f>
        <v>75734.93000000001</v>
      </c>
      <c r="H5" s="10"/>
      <c r="J5" s="13" t="e">
        <f>I5-#REF!</f>
        <v>#REF!</v>
      </c>
    </row>
    <row r="6" spans="1:9" s="14" customFormat="1" ht="94.5">
      <c r="A6" s="1">
        <v>1</v>
      </c>
      <c r="B6" s="3" t="s">
        <v>33</v>
      </c>
      <c r="C6" s="6" t="s">
        <v>79</v>
      </c>
      <c r="D6" s="20">
        <v>21981.914</v>
      </c>
      <c r="E6" s="20">
        <f>D6-188.441</f>
        <v>21793.473</v>
      </c>
      <c r="F6" s="9">
        <f aca="true" t="shared" si="0" ref="F6:F12">100-(E6/D6*100)</f>
        <v>0.8572547413296121</v>
      </c>
      <c r="G6" s="23">
        <v>2200</v>
      </c>
      <c r="H6" s="6" t="s">
        <v>82</v>
      </c>
      <c r="I6" s="7"/>
    </row>
    <row r="7" spans="1:9" s="14" customFormat="1" ht="189">
      <c r="A7" s="1">
        <v>2</v>
      </c>
      <c r="B7" s="3" t="s">
        <v>20</v>
      </c>
      <c r="C7" s="15" t="s">
        <v>34</v>
      </c>
      <c r="D7" s="20">
        <v>27620.08</v>
      </c>
      <c r="E7" s="20">
        <f>D7-79.166-2972.875</f>
        <v>24568.039</v>
      </c>
      <c r="F7" s="9">
        <f t="shared" si="0"/>
        <v>11.050080231483761</v>
      </c>
      <c r="G7" s="20">
        <v>8497.375</v>
      </c>
      <c r="H7" s="6" t="s">
        <v>59</v>
      </c>
      <c r="I7" s="7"/>
    </row>
    <row r="8" spans="1:9" s="14" customFormat="1" ht="110.25">
      <c r="A8" s="1">
        <v>3</v>
      </c>
      <c r="B8" s="3" t="s">
        <v>20</v>
      </c>
      <c r="C8" s="6" t="s">
        <v>21</v>
      </c>
      <c r="D8" s="20">
        <v>7706.785</v>
      </c>
      <c r="E8" s="20">
        <f>D8-95.619-4404.381</f>
        <v>3206.785</v>
      </c>
      <c r="F8" s="9">
        <f t="shared" si="0"/>
        <v>58.390106899310155</v>
      </c>
      <c r="G8" s="20">
        <v>3206.785</v>
      </c>
      <c r="H8" s="6" t="s">
        <v>48</v>
      </c>
      <c r="I8" s="7"/>
    </row>
    <row r="9" spans="1:9" s="14" customFormat="1" ht="78.75">
      <c r="A9" s="1">
        <v>4</v>
      </c>
      <c r="B9" s="3" t="s">
        <v>20</v>
      </c>
      <c r="C9" s="6" t="s">
        <v>22</v>
      </c>
      <c r="D9" s="20">
        <v>1316.513</v>
      </c>
      <c r="E9" s="20">
        <f>D9-62.983</f>
        <v>1253.53</v>
      </c>
      <c r="F9" s="9">
        <f t="shared" si="0"/>
        <v>4.784077331556929</v>
      </c>
      <c r="G9" s="20">
        <v>1253.53</v>
      </c>
      <c r="H9" s="6" t="s">
        <v>49</v>
      </c>
      <c r="I9" s="7"/>
    </row>
    <row r="10" spans="1:9" s="14" customFormat="1" ht="126">
      <c r="A10" s="1">
        <v>5</v>
      </c>
      <c r="B10" s="3" t="s">
        <v>20</v>
      </c>
      <c r="C10" s="6" t="s">
        <v>60</v>
      </c>
      <c r="D10" s="20">
        <v>2580</v>
      </c>
      <c r="E10" s="20">
        <f>D10-199.974</f>
        <v>2380.026</v>
      </c>
      <c r="F10" s="9">
        <f t="shared" si="0"/>
        <v>7.750930232558147</v>
      </c>
      <c r="G10" s="20">
        <v>2380.026</v>
      </c>
      <c r="H10" s="31" t="s">
        <v>68</v>
      </c>
      <c r="I10" s="7"/>
    </row>
    <row r="11" spans="1:9" s="14" customFormat="1" ht="78.75">
      <c r="A11" s="1">
        <v>6</v>
      </c>
      <c r="B11" s="3" t="s">
        <v>20</v>
      </c>
      <c r="C11" s="6" t="s">
        <v>66</v>
      </c>
      <c r="D11" s="20">
        <v>5000</v>
      </c>
      <c r="E11" s="20">
        <f>D11-178.744</f>
        <v>4821.256</v>
      </c>
      <c r="F11" s="9">
        <f t="shared" si="0"/>
        <v>3.574879999999993</v>
      </c>
      <c r="G11" s="20">
        <v>4821.256</v>
      </c>
      <c r="H11" s="6" t="s">
        <v>150</v>
      </c>
      <c r="I11" s="7"/>
    </row>
    <row r="12" spans="1:9" s="14" customFormat="1" ht="63">
      <c r="A12" s="1">
        <v>7</v>
      </c>
      <c r="B12" s="3" t="s">
        <v>20</v>
      </c>
      <c r="C12" s="6" t="s">
        <v>85</v>
      </c>
      <c r="D12" s="20">
        <v>1387</v>
      </c>
      <c r="E12" s="20">
        <f>1387-87</f>
        <v>1300</v>
      </c>
      <c r="F12" s="9">
        <f t="shared" si="0"/>
        <v>6.272530641672674</v>
      </c>
      <c r="G12" s="20">
        <v>1300</v>
      </c>
      <c r="H12" s="6" t="s">
        <v>149</v>
      </c>
      <c r="I12" s="7"/>
    </row>
    <row r="13" spans="1:9" s="14" customFormat="1" ht="47.25">
      <c r="A13" s="1">
        <v>8</v>
      </c>
      <c r="B13" s="3" t="s">
        <v>28</v>
      </c>
      <c r="C13" s="6" t="s">
        <v>62</v>
      </c>
      <c r="D13" s="20">
        <v>14117.909</v>
      </c>
      <c r="E13" s="20">
        <f>D13-2770</f>
        <v>11347.909</v>
      </c>
      <c r="F13" s="9">
        <f>100-(E13/D13*100)</f>
        <v>19.62046929187602</v>
      </c>
      <c r="G13" s="20">
        <v>4000</v>
      </c>
      <c r="H13" s="6" t="s">
        <v>74</v>
      </c>
      <c r="I13" s="7"/>
    </row>
    <row r="14" spans="1:9" s="14" customFormat="1" ht="236.25">
      <c r="A14" s="1">
        <v>9</v>
      </c>
      <c r="B14" s="3" t="s">
        <v>28</v>
      </c>
      <c r="C14" s="15" t="s">
        <v>29</v>
      </c>
      <c r="D14" s="20">
        <v>70790.65</v>
      </c>
      <c r="E14" s="20">
        <f>D14-18842.403</f>
        <v>51948.246999999996</v>
      </c>
      <c r="F14" s="9">
        <f>100-(E14/D14*100)</f>
        <v>26.61707866787492</v>
      </c>
      <c r="G14" s="20">
        <v>10000</v>
      </c>
      <c r="H14" s="6" t="s">
        <v>50</v>
      </c>
      <c r="I14" s="7"/>
    </row>
    <row r="15" spans="1:9" s="14" customFormat="1" ht="189">
      <c r="A15" s="1">
        <v>10</v>
      </c>
      <c r="B15" s="3" t="s">
        <v>28</v>
      </c>
      <c r="C15" s="15" t="s">
        <v>75</v>
      </c>
      <c r="D15" s="20">
        <v>18856.07</v>
      </c>
      <c r="E15" s="20">
        <f>D15-280.524</f>
        <v>18575.546</v>
      </c>
      <c r="F15" s="9">
        <f>100-(E15/D15*100)</f>
        <v>1.4877119145187692</v>
      </c>
      <c r="G15" s="20">
        <v>5000</v>
      </c>
      <c r="H15" s="11" t="s">
        <v>156</v>
      </c>
      <c r="I15" s="7"/>
    </row>
    <row r="16" spans="1:9" s="14" customFormat="1" ht="63">
      <c r="A16" s="1">
        <v>11</v>
      </c>
      <c r="B16" s="3" t="s">
        <v>28</v>
      </c>
      <c r="C16" s="15" t="s">
        <v>127</v>
      </c>
      <c r="D16" s="20">
        <v>1073.747</v>
      </c>
      <c r="E16" s="20">
        <f>D16-50.283</f>
        <v>1023.464</v>
      </c>
      <c r="F16" s="9">
        <f aca="true" t="shared" si="1" ref="F16:F21">100-(E16/D16*100)</f>
        <v>4.6829467276742065</v>
      </c>
      <c r="G16" s="20">
        <v>1023.464</v>
      </c>
      <c r="H16" s="11" t="s">
        <v>158</v>
      </c>
      <c r="I16" s="32"/>
    </row>
    <row r="17" spans="1:9" s="14" customFormat="1" ht="63">
      <c r="A17" s="1">
        <v>12</v>
      </c>
      <c r="B17" s="3" t="s">
        <v>28</v>
      </c>
      <c r="C17" s="15" t="s">
        <v>131</v>
      </c>
      <c r="D17" s="20">
        <v>947.597</v>
      </c>
      <c r="E17" s="20">
        <f>D17-15.624</f>
        <v>931.973</v>
      </c>
      <c r="F17" s="9">
        <f t="shared" si="1"/>
        <v>1.6488021806738544</v>
      </c>
      <c r="G17" s="20">
        <v>931.597</v>
      </c>
      <c r="H17" s="11" t="s">
        <v>161</v>
      </c>
      <c r="I17" s="32"/>
    </row>
    <row r="18" spans="1:9" s="14" customFormat="1" ht="78.75">
      <c r="A18" s="1">
        <v>13</v>
      </c>
      <c r="B18" s="3" t="s">
        <v>28</v>
      </c>
      <c r="C18" s="15" t="s">
        <v>132</v>
      </c>
      <c r="D18" s="20">
        <v>126.086</v>
      </c>
      <c r="E18" s="20">
        <f>D18-6.943</f>
        <v>119.143</v>
      </c>
      <c r="F18" s="9">
        <f t="shared" si="1"/>
        <v>5.506559015275286</v>
      </c>
      <c r="G18" s="20">
        <v>119.143</v>
      </c>
      <c r="H18" s="11" t="s">
        <v>160</v>
      </c>
      <c r="I18" s="32"/>
    </row>
    <row r="19" spans="1:9" s="14" customFormat="1" ht="78.75">
      <c r="A19" s="1">
        <v>14</v>
      </c>
      <c r="B19" s="3" t="s">
        <v>28</v>
      </c>
      <c r="C19" s="15" t="s">
        <v>135</v>
      </c>
      <c r="D19" s="20">
        <v>383.911</v>
      </c>
      <c r="E19" s="20">
        <f>D19-25.723</f>
        <v>358.188</v>
      </c>
      <c r="F19" s="9">
        <f t="shared" si="1"/>
        <v>6.700250839387252</v>
      </c>
      <c r="G19" s="20">
        <v>358.188</v>
      </c>
      <c r="H19" s="11" t="s">
        <v>136</v>
      </c>
      <c r="I19" s="32"/>
    </row>
    <row r="20" spans="1:9" s="14" customFormat="1" ht="63">
      <c r="A20" s="1">
        <v>15</v>
      </c>
      <c r="B20" s="3" t="s">
        <v>28</v>
      </c>
      <c r="C20" s="15" t="s">
        <v>143</v>
      </c>
      <c r="D20" s="20">
        <v>500.3</v>
      </c>
      <c r="E20" s="20">
        <f>D20-18</f>
        <v>482.3</v>
      </c>
      <c r="F20" s="9">
        <f t="shared" si="1"/>
        <v>3.5978412952228638</v>
      </c>
      <c r="G20" s="20">
        <v>482.3</v>
      </c>
      <c r="H20" s="27" t="s">
        <v>163</v>
      </c>
      <c r="I20" s="32"/>
    </row>
    <row r="21" spans="1:9" s="14" customFormat="1" ht="63">
      <c r="A21" s="1">
        <v>16</v>
      </c>
      <c r="B21" s="3" t="s">
        <v>28</v>
      </c>
      <c r="C21" s="15" t="s">
        <v>144</v>
      </c>
      <c r="D21" s="20">
        <v>180</v>
      </c>
      <c r="E21" s="20">
        <f>D21-20</f>
        <v>160</v>
      </c>
      <c r="F21" s="9">
        <f t="shared" si="1"/>
        <v>11.111111111111114</v>
      </c>
      <c r="G21" s="20">
        <v>160</v>
      </c>
      <c r="H21" s="27" t="s">
        <v>163</v>
      </c>
      <c r="I21" s="32"/>
    </row>
    <row r="22" spans="1:9" s="14" customFormat="1" ht="47.25">
      <c r="A22" s="1">
        <v>17</v>
      </c>
      <c r="B22" s="3" t="s">
        <v>23</v>
      </c>
      <c r="C22" s="15" t="s">
        <v>35</v>
      </c>
      <c r="D22" s="20">
        <v>14260.633</v>
      </c>
      <c r="E22" s="20">
        <f>D22-21.353-13957.996</f>
        <v>281.28400000000147</v>
      </c>
      <c r="F22" s="9">
        <f>100-(E22/D22*100)</f>
        <v>98.02754898748182</v>
      </c>
      <c r="G22" s="20">
        <v>281.284</v>
      </c>
      <c r="H22" s="11" t="s">
        <v>38</v>
      </c>
      <c r="I22" s="4"/>
    </row>
    <row r="23" spans="1:9" s="14" customFormat="1" ht="47.25">
      <c r="A23" s="1">
        <v>18</v>
      </c>
      <c r="B23" s="3" t="s">
        <v>18</v>
      </c>
      <c r="C23" s="6" t="s">
        <v>64</v>
      </c>
      <c r="D23" s="20">
        <v>538.445</v>
      </c>
      <c r="E23" s="20">
        <f>D23-280</f>
        <v>258.44500000000005</v>
      </c>
      <c r="F23" s="9">
        <f>100-(E23/D23*100)</f>
        <v>52.001597191913746</v>
      </c>
      <c r="G23" s="20">
        <v>258.445</v>
      </c>
      <c r="H23" s="6" t="s">
        <v>179</v>
      </c>
      <c r="I23" s="4"/>
    </row>
    <row r="24" spans="1:9" s="14" customFormat="1" ht="63">
      <c r="A24" s="1">
        <v>19</v>
      </c>
      <c r="B24" s="3" t="s">
        <v>40</v>
      </c>
      <c r="C24" s="6" t="s">
        <v>65</v>
      </c>
      <c r="D24" s="7">
        <v>3500</v>
      </c>
      <c r="E24" s="7">
        <f>D24-238.796</f>
        <v>3261.204</v>
      </c>
      <c r="F24" s="9">
        <v>0</v>
      </c>
      <c r="G24" s="20">
        <v>3261.204</v>
      </c>
      <c r="H24" s="6" t="s">
        <v>180</v>
      </c>
      <c r="I24" s="4"/>
    </row>
    <row r="25" spans="1:9" s="14" customFormat="1" ht="63">
      <c r="A25" s="1">
        <v>20</v>
      </c>
      <c r="B25" s="3" t="s">
        <v>18</v>
      </c>
      <c r="C25" s="6" t="s">
        <v>67</v>
      </c>
      <c r="D25" s="20">
        <v>1946.149</v>
      </c>
      <c r="E25" s="20">
        <f>D25-93.871</f>
        <v>1852.2779999999998</v>
      </c>
      <c r="F25" s="9">
        <f>100-(E25/D25*100)</f>
        <v>4.8234230780890925</v>
      </c>
      <c r="G25" s="20">
        <v>1852.278</v>
      </c>
      <c r="H25" s="6" t="s">
        <v>72</v>
      </c>
      <c r="I25" s="4"/>
    </row>
    <row r="26" spans="1:9" s="14" customFormat="1" ht="63">
      <c r="A26" s="1">
        <v>21</v>
      </c>
      <c r="B26" s="3" t="s">
        <v>44</v>
      </c>
      <c r="C26" s="6" t="s">
        <v>45</v>
      </c>
      <c r="D26" s="20">
        <v>2779.035</v>
      </c>
      <c r="E26" s="20">
        <f>D26-317.247-24.521</f>
        <v>2437.267</v>
      </c>
      <c r="F26" s="9">
        <v>0</v>
      </c>
      <c r="G26" s="20">
        <v>2437.267</v>
      </c>
      <c r="H26" s="6" t="s">
        <v>46</v>
      </c>
      <c r="I26" s="18"/>
    </row>
    <row r="27" spans="1:9" s="14" customFormat="1" ht="110.25">
      <c r="A27" s="1">
        <v>22</v>
      </c>
      <c r="B27" s="3" t="s">
        <v>42</v>
      </c>
      <c r="C27" s="6" t="s">
        <v>9</v>
      </c>
      <c r="D27" s="20">
        <v>5000</v>
      </c>
      <c r="E27" s="20">
        <f>D27-207.8</f>
        <v>4792.2</v>
      </c>
      <c r="F27" s="9">
        <f aca="true" t="shared" si="2" ref="F27:F32">100-(E27/D27*100)</f>
        <v>4.156000000000006</v>
      </c>
      <c r="G27" s="20">
        <v>4792</v>
      </c>
      <c r="H27" s="6" t="s">
        <v>181</v>
      </c>
      <c r="I27" s="18"/>
    </row>
    <row r="28" spans="1:9" s="14" customFormat="1" ht="78.75">
      <c r="A28" s="1">
        <v>23</v>
      </c>
      <c r="B28" s="3" t="s">
        <v>78</v>
      </c>
      <c r="C28" s="6" t="s">
        <v>69</v>
      </c>
      <c r="D28" s="20">
        <v>290.702</v>
      </c>
      <c r="E28" s="20">
        <f>D28-4.388</f>
        <v>286.314</v>
      </c>
      <c r="F28" s="9">
        <f t="shared" si="2"/>
        <v>1.5094495393908574</v>
      </c>
      <c r="G28" s="20">
        <v>286.314</v>
      </c>
      <c r="H28" s="6" t="s">
        <v>70</v>
      </c>
      <c r="I28" s="18"/>
    </row>
    <row r="29" spans="1:9" s="14" customFormat="1" ht="47.25">
      <c r="A29" s="1">
        <v>24</v>
      </c>
      <c r="B29" s="3" t="s">
        <v>126</v>
      </c>
      <c r="C29" s="6" t="s">
        <v>190</v>
      </c>
      <c r="D29" s="20">
        <v>2497.638</v>
      </c>
      <c r="E29" s="20">
        <f>D29-47.473</f>
        <v>2450.165</v>
      </c>
      <c r="F29" s="9">
        <f t="shared" si="2"/>
        <v>1.9007157962843308</v>
      </c>
      <c r="G29" s="20">
        <v>2450.165</v>
      </c>
      <c r="H29" s="6" t="s">
        <v>189</v>
      </c>
      <c r="I29" s="18"/>
    </row>
    <row r="30" spans="1:9" s="14" customFormat="1" ht="63">
      <c r="A30" s="1">
        <v>25</v>
      </c>
      <c r="B30" s="3" t="s">
        <v>27</v>
      </c>
      <c r="C30" s="6" t="s">
        <v>61</v>
      </c>
      <c r="D30" s="20">
        <v>4691.8</v>
      </c>
      <c r="E30" s="20">
        <f>4691.8-1520</f>
        <v>3171.8</v>
      </c>
      <c r="F30" s="9">
        <f t="shared" si="2"/>
        <v>32.396947866490464</v>
      </c>
      <c r="G30" s="20">
        <v>3171.8</v>
      </c>
      <c r="H30" s="6" t="s">
        <v>47</v>
      </c>
      <c r="I30" s="4"/>
    </row>
    <row r="31" spans="1:9" s="14" customFormat="1" ht="63">
      <c r="A31" s="1">
        <v>26</v>
      </c>
      <c r="B31" s="3" t="s">
        <v>27</v>
      </c>
      <c r="C31" s="6" t="s">
        <v>76</v>
      </c>
      <c r="D31" s="20">
        <v>8500</v>
      </c>
      <c r="E31" s="20">
        <f>D31-400.791</f>
        <v>8099.209</v>
      </c>
      <c r="F31" s="9">
        <f t="shared" si="2"/>
        <v>4.7151882352941215</v>
      </c>
      <c r="G31" s="20">
        <v>8099.209</v>
      </c>
      <c r="H31" s="6" t="s">
        <v>206</v>
      </c>
      <c r="I31" s="4"/>
    </row>
    <row r="32" spans="1:9" s="14" customFormat="1" ht="63">
      <c r="A32" s="1">
        <v>27</v>
      </c>
      <c r="B32" s="3" t="s">
        <v>24</v>
      </c>
      <c r="C32" s="6" t="s">
        <v>63</v>
      </c>
      <c r="D32" s="20">
        <v>4771.333</v>
      </c>
      <c r="E32" s="20">
        <f>D32-1660</f>
        <v>3111.3329999999996</v>
      </c>
      <c r="F32" s="9">
        <f t="shared" si="2"/>
        <v>34.79111602564734</v>
      </c>
      <c r="G32" s="20">
        <v>3111.3</v>
      </c>
      <c r="H32" s="11" t="s">
        <v>73</v>
      </c>
      <c r="I32" s="4"/>
    </row>
    <row r="35" spans="2:10" ht="40.5" customHeight="1">
      <c r="B35" s="149" t="s">
        <v>39</v>
      </c>
      <c r="C35" s="149"/>
      <c r="D35" s="149"/>
      <c r="E35" s="149"/>
      <c r="H35" s="18" t="s">
        <v>31</v>
      </c>
      <c r="J35" s="18"/>
    </row>
    <row r="36" spans="8:10" ht="15.75">
      <c r="H36" s="18"/>
      <c r="J36" s="18"/>
    </row>
    <row r="37" spans="1:3" ht="15.75">
      <c r="A37" s="18"/>
      <c r="C37" s="19" t="s">
        <v>32</v>
      </c>
    </row>
  </sheetData>
  <sheetProtection/>
  <mergeCells count="2">
    <mergeCell ref="A1:H1"/>
    <mergeCell ref="B35:E35"/>
  </mergeCells>
  <printOptions/>
  <pageMargins left="0.2755905511811024" right="0.2" top="0.3" bottom="0.23" header="0.27" footer="0.15748031496062992"/>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sheetPr>
  <dimension ref="A1:S20"/>
  <sheetViews>
    <sheetView zoomScale="70" zoomScaleNormal="70" zoomScaleSheetLayoutView="55" zoomScalePageLayoutView="0" workbookViewId="0" topLeftCell="A3">
      <pane xSplit="3" ySplit="3" topLeftCell="D1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48" t="s">
        <v>451</v>
      </c>
      <c r="B1" s="148"/>
      <c r="C1" s="148"/>
      <c r="D1" s="148"/>
      <c r="E1" s="148"/>
      <c r="F1" s="148"/>
      <c r="G1" s="148"/>
      <c r="H1" s="148"/>
      <c r="I1" s="148"/>
      <c r="J1" s="148"/>
      <c r="K1" s="148"/>
      <c r="L1" s="148"/>
      <c r="M1" s="148"/>
      <c r="N1" s="148"/>
      <c r="O1" s="148"/>
      <c r="P1" s="148"/>
      <c r="Q1" s="148"/>
      <c r="R1" s="148"/>
      <c r="S1" s="148"/>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50" t="s">
        <v>12</v>
      </c>
      <c r="B3" s="150" t="s">
        <v>254</v>
      </c>
      <c r="C3" s="150" t="s">
        <v>256</v>
      </c>
      <c r="D3" s="150" t="s">
        <v>269</v>
      </c>
      <c r="E3" s="150" t="s">
        <v>258</v>
      </c>
      <c r="F3" s="150" t="s">
        <v>259</v>
      </c>
      <c r="G3" s="150" t="s">
        <v>257</v>
      </c>
      <c r="H3" s="150" t="s">
        <v>250</v>
      </c>
      <c r="I3" s="150" t="s">
        <v>11</v>
      </c>
      <c r="J3" s="150" t="s">
        <v>251</v>
      </c>
      <c r="K3" s="150" t="s">
        <v>16</v>
      </c>
      <c r="L3" s="152" t="s">
        <v>241</v>
      </c>
      <c r="M3" s="153"/>
      <c r="N3" s="53" t="s">
        <v>252</v>
      </c>
      <c r="O3" s="154" t="s">
        <v>242</v>
      </c>
      <c r="P3" s="155"/>
      <c r="Q3" s="154" t="s">
        <v>253</v>
      </c>
      <c r="R3" s="155"/>
      <c r="S3" s="150" t="s">
        <v>255</v>
      </c>
    </row>
    <row r="4" spans="1:19" s="54" customFormat="1" ht="129.75" customHeight="1">
      <c r="A4" s="151"/>
      <c r="B4" s="151"/>
      <c r="C4" s="151"/>
      <c r="D4" s="151"/>
      <c r="E4" s="151"/>
      <c r="F4" s="151"/>
      <c r="G4" s="151"/>
      <c r="H4" s="151"/>
      <c r="I4" s="151"/>
      <c r="J4" s="151"/>
      <c r="K4" s="151"/>
      <c r="L4" s="53" t="s">
        <v>273</v>
      </c>
      <c r="M4" s="60" t="s">
        <v>274</v>
      </c>
      <c r="N4" s="53"/>
      <c r="O4" s="75" t="s">
        <v>273</v>
      </c>
      <c r="P4" s="76" t="s">
        <v>274</v>
      </c>
      <c r="Q4" s="75" t="s">
        <v>273</v>
      </c>
      <c r="R4" s="76" t="s">
        <v>274</v>
      </c>
      <c r="S4" s="151"/>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I7+I10+I12+I15</f>
        <v>44061.245</v>
      </c>
      <c r="J6" s="22">
        <f>J7+J10+J12+J15</f>
        <v>43999.895000000004</v>
      </c>
      <c r="K6" s="22" t="s">
        <v>30</v>
      </c>
      <c r="L6" s="22">
        <f>L7+L10+L12+L15</f>
        <v>35150</v>
      </c>
      <c r="M6" s="22">
        <f>M7+M10+M12+M15</f>
        <v>1950</v>
      </c>
      <c r="N6" s="22" t="e">
        <f>N7+N10+N12+#REF!+#REF!+#REF!</f>
        <v>#REF!</v>
      </c>
      <c r="O6" s="22" t="e">
        <f>O7+O10+O12+#REF!+#REF!+#REF!</f>
        <v>#REF!</v>
      </c>
      <c r="P6" s="22" t="e">
        <f>P7+P10+P12+#REF!+#REF!+#REF!</f>
        <v>#REF!</v>
      </c>
      <c r="Q6" s="22" t="e">
        <f>Q7+Q10+Q12+#REF!+#REF!+#REF!</f>
        <v>#REF!</v>
      </c>
      <c r="R6" s="22" t="e">
        <f>R7+R10+R12+#REF!+#REF!+#REF!</f>
        <v>#REF!</v>
      </c>
      <c r="S6" s="22" t="s">
        <v>30</v>
      </c>
    </row>
    <row r="7" spans="1:19" s="73" customFormat="1" ht="31.5">
      <c r="A7" s="70"/>
      <c r="B7" s="70"/>
      <c r="C7" s="71" t="s">
        <v>383</v>
      </c>
      <c r="D7" s="71"/>
      <c r="E7" s="71"/>
      <c r="F7" s="71"/>
      <c r="G7" s="71"/>
      <c r="H7" s="71"/>
      <c r="I7" s="72">
        <f>SUM(I8:I9)</f>
        <v>14561.245</v>
      </c>
      <c r="J7" s="72">
        <f>SUM(J8:J9)</f>
        <v>14499.895</v>
      </c>
      <c r="K7" s="72" t="s">
        <v>30</v>
      </c>
      <c r="L7" s="72">
        <f>SUM(L8:L9)</f>
        <v>6950</v>
      </c>
      <c r="M7" s="72">
        <f>SUM(M8:M9)</f>
        <v>450</v>
      </c>
      <c r="N7" s="72">
        <f>SUM(N8:N8)</f>
        <v>0</v>
      </c>
      <c r="O7" s="72">
        <f>SUM(O8:O8)</f>
        <v>0</v>
      </c>
      <c r="P7" s="72">
        <f>SUM(P8:P8)</f>
        <v>0</v>
      </c>
      <c r="Q7" s="72">
        <f>SUM(Q8:Q8)</f>
        <v>0</v>
      </c>
      <c r="R7" s="72">
        <f>SUM(R8:R8)</f>
        <v>0</v>
      </c>
      <c r="S7" s="72"/>
    </row>
    <row r="8" spans="1:19" s="52" customFormat="1" ht="173.25">
      <c r="A8" s="61">
        <v>9</v>
      </c>
      <c r="B8" s="43" t="s">
        <v>266</v>
      </c>
      <c r="C8" s="67" t="s">
        <v>286</v>
      </c>
      <c r="D8" s="66" t="s">
        <v>270</v>
      </c>
      <c r="E8" s="56"/>
      <c r="F8" s="56"/>
      <c r="G8" s="56"/>
      <c r="H8" s="55"/>
      <c r="I8" s="23">
        <v>8811.245</v>
      </c>
      <c r="J8" s="99">
        <v>8749.895</v>
      </c>
      <c r="K8" s="29">
        <f>100-(J8/I8*100)</f>
        <v>0.6962693694250959</v>
      </c>
      <c r="L8" s="23">
        <v>1200</v>
      </c>
      <c r="M8" s="23">
        <v>150</v>
      </c>
      <c r="N8" s="23"/>
      <c r="O8" s="23"/>
      <c r="P8" s="23"/>
      <c r="Q8" s="23"/>
      <c r="R8" s="23"/>
      <c r="S8" s="84" t="s">
        <v>462</v>
      </c>
    </row>
    <row r="9" spans="1:19" s="52" customFormat="1" ht="63">
      <c r="A9" s="61">
        <v>17</v>
      </c>
      <c r="B9" s="43" t="s">
        <v>283</v>
      </c>
      <c r="C9" s="67" t="s">
        <v>289</v>
      </c>
      <c r="D9" s="66" t="s">
        <v>270</v>
      </c>
      <c r="E9" s="56"/>
      <c r="F9" s="56"/>
      <c r="G9" s="56"/>
      <c r="H9" s="55"/>
      <c r="I9" s="23">
        <f>L9</f>
        <v>5750</v>
      </c>
      <c r="J9" s="23">
        <f>I9</f>
        <v>5750</v>
      </c>
      <c r="K9" s="29">
        <f>100-(J9/I9*100)</f>
        <v>0</v>
      </c>
      <c r="L9" s="23">
        <v>5750</v>
      </c>
      <c r="M9" s="23">
        <v>300</v>
      </c>
      <c r="N9" s="23"/>
      <c r="O9" s="23"/>
      <c r="P9" s="23"/>
      <c r="Q9" s="23"/>
      <c r="R9" s="23"/>
      <c r="S9" s="74" t="s">
        <v>421</v>
      </c>
    </row>
    <row r="10" spans="1:19" s="73" customFormat="1" ht="31.5">
      <c r="A10" s="70"/>
      <c r="B10" s="70"/>
      <c r="C10" s="71" t="s">
        <v>391</v>
      </c>
      <c r="D10" s="71"/>
      <c r="E10" s="71"/>
      <c r="F10" s="71"/>
      <c r="G10" s="71"/>
      <c r="H10" s="71"/>
      <c r="I10" s="72">
        <f>SUM(I11:I11)</f>
        <v>20000</v>
      </c>
      <c r="J10" s="72">
        <f>SUM(J11:J11)</f>
        <v>20000</v>
      </c>
      <c r="K10" s="72" t="s">
        <v>30</v>
      </c>
      <c r="L10" s="72">
        <f aca="true" t="shared" si="0" ref="L10:R10">SUM(L11:L11)</f>
        <v>20000</v>
      </c>
      <c r="M10" s="72">
        <f t="shared" si="0"/>
        <v>500</v>
      </c>
      <c r="N10" s="72">
        <f t="shared" si="0"/>
        <v>0</v>
      </c>
      <c r="O10" s="72">
        <f t="shared" si="0"/>
        <v>0</v>
      </c>
      <c r="P10" s="72">
        <f t="shared" si="0"/>
        <v>0</v>
      </c>
      <c r="Q10" s="72">
        <f t="shared" si="0"/>
        <v>0</v>
      </c>
      <c r="R10" s="72">
        <f t="shared" si="0"/>
        <v>0</v>
      </c>
      <c r="S10" s="72"/>
    </row>
    <row r="11" spans="1:19" s="52" customFormat="1" ht="78.75">
      <c r="A11" s="61">
        <v>6</v>
      </c>
      <c r="B11" s="43" t="s">
        <v>305</v>
      </c>
      <c r="C11" s="63" t="s">
        <v>473</v>
      </c>
      <c r="D11" s="56" t="s">
        <v>270</v>
      </c>
      <c r="E11" s="56" t="s">
        <v>363</v>
      </c>
      <c r="F11" s="56"/>
      <c r="G11" s="56"/>
      <c r="H11" s="55"/>
      <c r="I11" s="23">
        <f>L11</f>
        <v>20000</v>
      </c>
      <c r="J11" s="23">
        <f>I11</f>
        <v>20000</v>
      </c>
      <c r="K11" s="29">
        <f>100-(J11/I11*100)</f>
        <v>0</v>
      </c>
      <c r="L11" s="23">
        <v>20000</v>
      </c>
      <c r="M11" s="100">
        <v>500</v>
      </c>
      <c r="N11" s="23"/>
      <c r="O11" s="23"/>
      <c r="P11" s="23"/>
      <c r="Q11" s="23"/>
      <c r="R11" s="23"/>
      <c r="S11" s="25" t="s">
        <v>474</v>
      </c>
    </row>
    <row r="12" spans="1:19" s="73" customFormat="1" ht="31.5">
      <c r="A12" s="70"/>
      <c r="B12" s="70"/>
      <c r="C12" s="71" t="s">
        <v>393</v>
      </c>
      <c r="D12" s="71"/>
      <c r="E12" s="71"/>
      <c r="F12" s="71"/>
      <c r="G12" s="71"/>
      <c r="H12" s="71"/>
      <c r="I12" s="72">
        <f>SUM(I13:I14)</f>
        <v>6000</v>
      </c>
      <c r="J12" s="72">
        <f>SUM(J13:J14)</f>
        <v>6000</v>
      </c>
      <c r="K12" s="72" t="s">
        <v>30</v>
      </c>
      <c r="L12" s="72">
        <f>SUM(L13:L14)</f>
        <v>4700</v>
      </c>
      <c r="M12" s="72">
        <f>SUM(M13:M14)</f>
        <v>600</v>
      </c>
      <c r="N12" s="72" t="e">
        <f>SUM(#REF!)</f>
        <v>#REF!</v>
      </c>
      <c r="O12" s="72" t="e">
        <f>SUM(#REF!)</f>
        <v>#REF!</v>
      </c>
      <c r="P12" s="72" t="e">
        <f>SUM(#REF!)</f>
        <v>#REF!</v>
      </c>
      <c r="Q12" s="72" t="e">
        <f>SUM(#REF!)</f>
        <v>#REF!</v>
      </c>
      <c r="R12" s="72" t="e">
        <f>SUM(#REF!)</f>
        <v>#REF!</v>
      </c>
      <c r="S12" s="72"/>
    </row>
    <row r="13" spans="1:19" s="52" customFormat="1" ht="63">
      <c r="A13" s="61">
        <v>1</v>
      </c>
      <c r="B13" s="43" t="s">
        <v>342</v>
      </c>
      <c r="C13" s="69" t="s">
        <v>99</v>
      </c>
      <c r="D13" s="29" t="s">
        <v>270</v>
      </c>
      <c r="E13" s="29"/>
      <c r="F13" s="29"/>
      <c r="G13" s="29"/>
      <c r="H13" s="55"/>
      <c r="I13" s="28">
        <f>L13+O13</f>
        <v>3500</v>
      </c>
      <c r="J13" s="28">
        <f>I13</f>
        <v>3500</v>
      </c>
      <c r="K13" s="29">
        <f>100-(J13/I13*100)</f>
        <v>0</v>
      </c>
      <c r="L13" s="23">
        <v>2200</v>
      </c>
      <c r="M13" s="23">
        <v>400</v>
      </c>
      <c r="N13" s="23"/>
      <c r="O13" s="23">
        <v>1300</v>
      </c>
      <c r="P13" s="23"/>
      <c r="Q13" s="23"/>
      <c r="R13" s="23"/>
      <c r="S13" s="25" t="s">
        <v>466</v>
      </c>
    </row>
    <row r="14" spans="1:19" s="52" customFormat="1" ht="63">
      <c r="A14" s="61">
        <v>2</v>
      </c>
      <c r="B14" s="43" t="s">
        <v>342</v>
      </c>
      <c r="C14" s="25" t="s">
        <v>98</v>
      </c>
      <c r="D14" s="64" t="s">
        <v>270</v>
      </c>
      <c r="E14" s="64"/>
      <c r="F14" s="64"/>
      <c r="G14" s="64"/>
      <c r="H14" s="55"/>
      <c r="I14" s="28">
        <f>L14+O14</f>
        <v>2500</v>
      </c>
      <c r="J14" s="28">
        <f>I14</f>
        <v>2500</v>
      </c>
      <c r="K14" s="29">
        <f>100-(J14/I14*100)</f>
        <v>0</v>
      </c>
      <c r="L14" s="23">
        <v>2500</v>
      </c>
      <c r="M14" s="23">
        <v>200</v>
      </c>
      <c r="N14" s="23"/>
      <c r="O14" s="23"/>
      <c r="P14" s="23"/>
      <c r="Q14" s="23"/>
      <c r="R14" s="23"/>
      <c r="S14" s="25" t="s">
        <v>465</v>
      </c>
    </row>
    <row r="15" spans="1:19" s="92" customFormat="1" ht="63" customHeight="1">
      <c r="A15" s="88"/>
      <c r="B15" s="86"/>
      <c r="C15" s="86" t="s">
        <v>463</v>
      </c>
      <c r="D15" s="86"/>
      <c r="E15" s="86"/>
      <c r="F15" s="86"/>
      <c r="G15" s="86"/>
      <c r="H15" s="89"/>
      <c r="I15" s="90">
        <f>I16</f>
        <v>3500</v>
      </c>
      <c r="J15" s="90">
        <f>J16</f>
        <v>3500</v>
      </c>
      <c r="K15" s="91" t="s">
        <v>30</v>
      </c>
      <c r="L15" s="90">
        <f aca="true" t="shared" si="1" ref="L15:R15">L16</f>
        <v>3500</v>
      </c>
      <c r="M15" s="90">
        <f t="shared" si="1"/>
        <v>400</v>
      </c>
      <c r="N15" s="90">
        <f t="shared" si="1"/>
        <v>0</v>
      </c>
      <c r="O15" s="90">
        <f t="shared" si="1"/>
        <v>0</v>
      </c>
      <c r="P15" s="90">
        <f t="shared" si="1"/>
        <v>0</v>
      </c>
      <c r="Q15" s="90">
        <f t="shared" si="1"/>
        <v>0</v>
      </c>
      <c r="R15" s="90">
        <f t="shared" si="1"/>
        <v>0</v>
      </c>
      <c r="S15" s="87"/>
    </row>
    <row r="16" spans="1:19" s="52" customFormat="1" ht="220.5">
      <c r="A16" s="61">
        <v>1</v>
      </c>
      <c r="B16" s="43" t="s">
        <v>292</v>
      </c>
      <c r="C16" s="25" t="s">
        <v>475</v>
      </c>
      <c r="D16" s="64" t="s">
        <v>270</v>
      </c>
      <c r="E16" s="64"/>
      <c r="F16" s="64"/>
      <c r="G16" s="64"/>
      <c r="H16" s="55"/>
      <c r="I16" s="28">
        <v>3500</v>
      </c>
      <c r="J16" s="28">
        <f>I16</f>
        <v>3500</v>
      </c>
      <c r="K16" s="29">
        <f>100-(J16/I16*100)</f>
        <v>0</v>
      </c>
      <c r="L16" s="23">
        <v>3500</v>
      </c>
      <c r="M16" s="23">
        <v>400</v>
      </c>
      <c r="N16" s="23"/>
      <c r="O16" s="23">
        <f>J16-L16</f>
        <v>0</v>
      </c>
      <c r="P16" s="23"/>
      <c r="Q16" s="23"/>
      <c r="R16" s="23"/>
      <c r="S16" s="25" t="s">
        <v>464</v>
      </c>
    </row>
    <row r="17" spans="1:19" s="52" customFormat="1" ht="15.75">
      <c r="A17" s="77"/>
      <c r="B17" s="78"/>
      <c r="C17" s="79"/>
      <c r="D17" s="80"/>
      <c r="E17" s="80"/>
      <c r="F17" s="80"/>
      <c r="G17" s="80"/>
      <c r="H17" s="81"/>
      <c r="I17" s="94"/>
      <c r="J17" s="94"/>
      <c r="K17" s="82"/>
      <c r="L17" s="83"/>
      <c r="M17" s="83"/>
      <c r="N17" s="83"/>
      <c r="O17" s="83"/>
      <c r="P17" s="83"/>
      <c r="Q17" s="83"/>
      <c r="R17" s="83"/>
      <c r="S17" s="79"/>
    </row>
    <row r="18" spans="2:19" ht="40.5" customHeight="1">
      <c r="B18" s="149" t="s">
        <v>381</v>
      </c>
      <c r="C18" s="149"/>
      <c r="D18" s="149"/>
      <c r="E18" s="149"/>
      <c r="F18" s="149"/>
      <c r="G18" s="149"/>
      <c r="H18" s="149"/>
      <c r="I18" s="149"/>
      <c r="J18" s="149"/>
      <c r="S18" s="18" t="s">
        <v>382</v>
      </c>
    </row>
    <row r="19" ht="15.75">
      <c r="S19" s="18"/>
    </row>
    <row r="20" spans="1:8" ht="15.75">
      <c r="A20" s="18"/>
      <c r="C20" s="19"/>
      <c r="D20" s="57"/>
      <c r="E20" s="57"/>
      <c r="F20" s="57"/>
      <c r="G20" s="57"/>
      <c r="H20" s="57"/>
    </row>
  </sheetData>
  <sheetProtection/>
  <mergeCells count="17">
    <mergeCell ref="S3:S4"/>
    <mergeCell ref="A1:S1"/>
    <mergeCell ref="A3:A4"/>
    <mergeCell ref="B3:B4"/>
    <mergeCell ref="C3:C4"/>
    <mergeCell ref="D3:D4"/>
    <mergeCell ref="E3:E4"/>
    <mergeCell ref="F3:F4"/>
    <mergeCell ref="G3:G4"/>
    <mergeCell ref="H3:H4"/>
    <mergeCell ref="B18:J18"/>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18" max="18" man="1"/>
    <brk id="19" max="9" man="1"/>
  </rowBreaks>
</worksheet>
</file>

<file path=xl/worksheets/sheet11.xml><?xml version="1.0" encoding="utf-8"?>
<worksheet xmlns="http://schemas.openxmlformats.org/spreadsheetml/2006/main" xmlns:r="http://schemas.openxmlformats.org/officeDocument/2006/relationships">
  <sheetPr>
    <tabColor rgb="FFFFC000"/>
  </sheetPr>
  <dimension ref="A1:T39"/>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48" t="s">
        <v>451</v>
      </c>
      <c r="B1" s="148"/>
      <c r="C1" s="148"/>
      <c r="D1" s="148"/>
      <c r="E1" s="148"/>
      <c r="F1" s="148"/>
      <c r="G1" s="148"/>
      <c r="H1" s="148"/>
      <c r="I1" s="148"/>
      <c r="J1" s="148"/>
      <c r="K1" s="148"/>
      <c r="L1" s="148"/>
      <c r="M1" s="148"/>
      <c r="N1" s="148"/>
      <c r="O1" s="148"/>
      <c r="P1" s="148"/>
      <c r="Q1" s="148"/>
      <c r="R1" s="148"/>
      <c r="S1" s="148"/>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50" t="s">
        <v>12</v>
      </c>
      <c r="B3" s="150" t="s">
        <v>254</v>
      </c>
      <c r="C3" s="150" t="s">
        <v>256</v>
      </c>
      <c r="D3" s="150" t="s">
        <v>269</v>
      </c>
      <c r="E3" s="150" t="s">
        <v>258</v>
      </c>
      <c r="F3" s="150" t="s">
        <v>259</v>
      </c>
      <c r="G3" s="150" t="s">
        <v>257</v>
      </c>
      <c r="H3" s="150" t="s">
        <v>250</v>
      </c>
      <c r="I3" s="150" t="s">
        <v>11</v>
      </c>
      <c r="J3" s="150" t="s">
        <v>251</v>
      </c>
      <c r="K3" s="150" t="s">
        <v>16</v>
      </c>
      <c r="L3" s="152" t="s">
        <v>241</v>
      </c>
      <c r="M3" s="153"/>
      <c r="N3" s="53" t="s">
        <v>252</v>
      </c>
      <c r="O3" s="154" t="s">
        <v>242</v>
      </c>
      <c r="P3" s="155"/>
      <c r="Q3" s="154" t="s">
        <v>253</v>
      </c>
      <c r="R3" s="155"/>
      <c r="S3" s="150" t="s">
        <v>255</v>
      </c>
    </row>
    <row r="4" spans="1:19" s="54" customFormat="1" ht="129.75" customHeight="1">
      <c r="A4" s="151"/>
      <c r="B4" s="151"/>
      <c r="C4" s="151"/>
      <c r="D4" s="151"/>
      <c r="E4" s="151"/>
      <c r="F4" s="151"/>
      <c r="G4" s="151"/>
      <c r="H4" s="151"/>
      <c r="I4" s="151"/>
      <c r="J4" s="151"/>
      <c r="K4" s="151"/>
      <c r="L4" s="53" t="s">
        <v>273</v>
      </c>
      <c r="M4" s="60" t="s">
        <v>274</v>
      </c>
      <c r="N4" s="53"/>
      <c r="O4" s="75" t="s">
        <v>273</v>
      </c>
      <c r="P4" s="76" t="s">
        <v>274</v>
      </c>
      <c r="Q4" s="75" t="s">
        <v>273</v>
      </c>
      <c r="R4" s="76" t="s">
        <v>274</v>
      </c>
      <c r="S4" s="151"/>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I7+I16+I22+I29+I34</f>
        <v>378692.632</v>
      </c>
      <c r="J6" s="22">
        <f>J7+J16+J22+J29+J34</f>
        <v>287455.32809</v>
      </c>
      <c r="K6" s="22" t="s">
        <v>30</v>
      </c>
      <c r="L6" s="22">
        <f>L7+L16+L22+L29+L34</f>
        <v>118102.212</v>
      </c>
      <c r="M6" s="22">
        <f>M7+M16+M22+M29+M34</f>
        <v>500</v>
      </c>
      <c r="N6" s="22" t="e">
        <f>N7+N16+#REF!+N22+N29+N34</f>
        <v>#REF!</v>
      </c>
      <c r="O6" s="22" t="e">
        <f>O7+O16+#REF!+O22+O29+O34</f>
        <v>#REF!</v>
      </c>
      <c r="P6" s="22" t="e">
        <f>P7+P16+#REF!+P22+P29+P34</f>
        <v>#REF!</v>
      </c>
      <c r="Q6" s="22" t="e">
        <f>Q7+Q16+#REF!+Q22+Q29+Q34</f>
        <v>#REF!</v>
      </c>
      <c r="R6" s="22" t="e">
        <f>R7+R16+#REF!+R22+R29+R34</f>
        <v>#REF!</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0" ref="L7:R7">SUM(L8:L15)</f>
        <v>37375.659999999996</v>
      </c>
      <c r="M7" s="72">
        <f t="shared" si="0"/>
        <v>0</v>
      </c>
      <c r="N7" s="72">
        <f t="shared" si="0"/>
        <v>0</v>
      </c>
      <c r="O7" s="72">
        <f t="shared" si="0"/>
        <v>13514.365000000005</v>
      </c>
      <c r="P7" s="72">
        <f t="shared" si="0"/>
        <v>0</v>
      </c>
      <c r="Q7" s="72">
        <f t="shared" si="0"/>
        <v>0</v>
      </c>
      <c r="R7" s="72">
        <f t="shared" si="0"/>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1" ref="K8:K15">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1"/>
        <v>72.0661730014534</v>
      </c>
      <c r="L9" s="100">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1"/>
        <v>28.191480595427947</v>
      </c>
      <c r="L10" s="23">
        <v>13500</v>
      </c>
      <c r="M10" s="23"/>
      <c r="N10" s="23"/>
      <c r="O10" s="23">
        <f>J10-L10</f>
        <v>13514.365000000005</v>
      </c>
      <c r="P10" s="23"/>
      <c r="Q10" s="23"/>
      <c r="R10" s="23"/>
      <c r="S10" s="25" t="s">
        <v>470</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1"/>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1"/>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1"/>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1"/>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1"/>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SUM(I17:I21)</f>
        <v>102386.44699999999</v>
      </c>
      <c r="J16" s="72">
        <f>SUM(J17:J21)</f>
        <v>80157.69099999999</v>
      </c>
      <c r="K16" s="72" t="s">
        <v>30</v>
      </c>
      <c r="L16" s="72">
        <f aca="true" t="shared" si="2" ref="L16:R16">SUM(L17:L21)</f>
        <v>31709.444</v>
      </c>
      <c r="M16" s="72">
        <f t="shared" si="2"/>
        <v>500</v>
      </c>
      <c r="N16" s="72">
        <f t="shared" si="2"/>
        <v>0</v>
      </c>
      <c r="O16" s="72">
        <f t="shared" si="2"/>
        <v>44948.246999999996</v>
      </c>
      <c r="P16" s="72">
        <f t="shared" si="2"/>
        <v>0</v>
      </c>
      <c r="Q16" s="72">
        <f t="shared" si="2"/>
        <v>0</v>
      </c>
      <c r="R16" s="72">
        <f t="shared" si="2"/>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100-(J17/I17*100)</f>
        <v>30.854926462746135</v>
      </c>
      <c r="L17" s="23">
        <v>4000</v>
      </c>
      <c r="M17" s="23"/>
      <c r="N17" s="23"/>
      <c r="O17" s="23">
        <f>J17-L17</f>
        <v>44948.246999999996</v>
      </c>
      <c r="P17" s="23"/>
      <c r="Q17" s="23"/>
      <c r="R17" s="23"/>
      <c r="S17" s="6" t="s">
        <v>467</v>
      </c>
    </row>
    <row r="18" spans="1:19" s="52" customFormat="1" ht="94.5">
      <c r="A18" s="61">
        <v>3</v>
      </c>
      <c r="B18" s="43" t="s">
        <v>334</v>
      </c>
      <c r="C18" s="25" t="s">
        <v>335</v>
      </c>
      <c r="D18" s="64" t="s">
        <v>270</v>
      </c>
      <c r="E18" s="64" t="s">
        <v>336</v>
      </c>
      <c r="F18" s="64"/>
      <c r="G18" s="64"/>
      <c r="H18" s="55">
        <v>2018</v>
      </c>
      <c r="I18" s="23">
        <v>7785.333</v>
      </c>
      <c r="J18" s="23">
        <f>I18-47.473-237.86</f>
        <v>7500</v>
      </c>
      <c r="K18" s="29">
        <f>100-(J18/I18*100)</f>
        <v>3.6650070074073824</v>
      </c>
      <c r="L18" s="100">
        <v>4000</v>
      </c>
      <c r="M18" s="23"/>
      <c r="N18" s="23"/>
      <c r="O18" s="23"/>
      <c r="P18" s="23"/>
      <c r="Q18" s="23"/>
      <c r="R18" s="23"/>
      <c r="S18" s="25" t="s">
        <v>398</v>
      </c>
    </row>
    <row r="19" spans="1:19" s="52" customFormat="1" ht="110.25">
      <c r="A19" s="61">
        <v>4</v>
      </c>
      <c r="B19" s="43" t="s">
        <v>338</v>
      </c>
      <c r="C19" s="63" t="s">
        <v>366</v>
      </c>
      <c r="D19" s="56" t="s">
        <v>270</v>
      </c>
      <c r="E19" s="68" t="s">
        <v>367</v>
      </c>
      <c r="F19" s="56" t="s">
        <v>368</v>
      </c>
      <c r="G19" s="56"/>
      <c r="H19" s="55"/>
      <c r="I19" s="23">
        <v>1984.14</v>
      </c>
      <c r="J19" s="23">
        <f>I19-85</f>
        <v>1899.14</v>
      </c>
      <c r="K19" s="29">
        <f>100-(J19/I19*100)</f>
        <v>4.283971897144355</v>
      </c>
      <c r="L19" s="23">
        <v>1899.14</v>
      </c>
      <c r="M19" s="23"/>
      <c r="N19" s="23"/>
      <c r="O19" s="23"/>
      <c r="P19" s="23"/>
      <c r="Q19" s="23"/>
      <c r="R19" s="23"/>
      <c r="S19" s="25" t="s">
        <v>369</v>
      </c>
    </row>
    <row r="20" spans="1:19" s="110" customFormat="1" ht="78.75">
      <c r="A20" s="101">
        <v>6</v>
      </c>
      <c r="B20" s="102" t="s">
        <v>305</v>
      </c>
      <c r="C20" s="103" t="s">
        <v>473</v>
      </c>
      <c r="D20" s="104" t="s">
        <v>270</v>
      </c>
      <c r="E20" s="104" t="s">
        <v>363</v>
      </c>
      <c r="F20" s="104"/>
      <c r="G20" s="104"/>
      <c r="H20" s="105"/>
      <c r="I20" s="106">
        <f>L20</f>
        <v>20000</v>
      </c>
      <c r="J20" s="106">
        <f>I20</f>
        <v>20000</v>
      </c>
      <c r="K20" s="107">
        <f>100-(J20/I20*100)</f>
        <v>0</v>
      </c>
      <c r="L20" s="106">
        <v>20000</v>
      </c>
      <c r="M20" s="108">
        <v>500</v>
      </c>
      <c r="N20" s="106"/>
      <c r="O20" s="106"/>
      <c r="P20" s="106"/>
      <c r="Q20" s="106"/>
      <c r="R20" s="106"/>
      <c r="S20" s="109" t="s">
        <v>474</v>
      </c>
    </row>
    <row r="21" spans="1:19" s="52" customFormat="1" ht="78.75">
      <c r="A21" s="61">
        <v>12</v>
      </c>
      <c r="B21" s="43" t="s">
        <v>372</v>
      </c>
      <c r="C21" s="25" t="s">
        <v>471</v>
      </c>
      <c r="D21" s="64" t="s">
        <v>270</v>
      </c>
      <c r="E21" s="64" t="s">
        <v>468</v>
      </c>
      <c r="F21" s="64"/>
      <c r="G21" s="64"/>
      <c r="H21" s="55"/>
      <c r="I21" s="23">
        <v>1826.324</v>
      </c>
      <c r="J21" s="23">
        <f>I21-16.02</f>
        <v>1810.304</v>
      </c>
      <c r="K21" s="29">
        <f>100-(J21/I21*100)</f>
        <v>0.8771718490257001</v>
      </c>
      <c r="L21" s="23">
        <v>1810.304</v>
      </c>
      <c r="M21" s="23"/>
      <c r="N21" s="23"/>
      <c r="O21" s="23"/>
      <c r="P21" s="23"/>
      <c r="Q21" s="23"/>
      <c r="R21" s="23"/>
      <c r="S21" s="25" t="s">
        <v>472</v>
      </c>
    </row>
    <row r="22" spans="1:19" s="73" customFormat="1" ht="31.5">
      <c r="A22" s="70"/>
      <c r="B22" s="70"/>
      <c r="C22" s="71" t="s">
        <v>394</v>
      </c>
      <c r="D22" s="71"/>
      <c r="E22" s="71"/>
      <c r="F22" s="71"/>
      <c r="G22" s="71"/>
      <c r="H22" s="71"/>
      <c r="I22" s="72">
        <f>SUM(I23:I28)</f>
        <v>107126.144</v>
      </c>
      <c r="J22" s="72">
        <f>SUM(J23:J28)</f>
        <v>84931.22909000001</v>
      </c>
      <c r="K22" s="72" t="s">
        <v>30</v>
      </c>
      <c r="L22" s="72">
        <f aca="true" t="shared" si="3" ref="L22:R22">SUM(L23:L28)</f>
        <v>27017.108</v>
      </c>
      <c r="M22" s="72">
        <f t="shared" si="3"/>
        <v>0</v>
      </c>
      <c r="N22" s="72">
        <f t="shared" si="3"/>
        <v>0</v>
      </c>
      <c r="O22" s="72">
        <f t="shared" si="3"/>
        <v>41313.326</v>
      </c>
      <c r="P22" s="72">
        <f t="shared" si="3"/>
        <v>0</v>
      </c>
      <c r="Q22" s="72">
        <f t="shared" si="3"/>
        <v>16600.795</v>
      </c>
      <c r="R22" s="72">
        <f t="shared" si="3"/>
        <v>0</v>
      </c>
      <c r="S22" s="72"/>
    </row>
    <row r="23" spans="1:19" s="52" customFormat="1" ht="94.5">
      <c r="A23" s="61">
        <v>1</v>
      </c>
      <c r="B23" s="43" t="s">
        <v>292</v>
      </c>
      <c r="C23" s="25" t="s">
        <v>310</v>
      </c>
      <c r="D23" s="64" t="s">
        <v>270</v>
      </c>
      <c r="E23" s="64" t="s">
        <v>311</v>
      </c>
      <c r="F23" s="64" t="s">
        <v>315</v>
      </c>
      <c r="G23" s="64" t="s">
        <v>312</v>
      </c>
      <c r="H23" s="55">
        <v>2016</v>
      </c>
      <c r="I23" s="28">
        <f>4485.15+4814.85</f>
        <v>9300</v>
      </c>
      <c r="J23" s="28">
        <f>I23-1990.93498-2494.215</f>
        <v>4814.85002</v>
      </c>
      <c r="K23" s="29">
        <f>100-(J23/I23*100)</f>
        <v>48.22741913978494</v>
      </c>
      <c r="L23" s="23">
        <v>4814.85</v>
      </c>
      <c r="M23" s="23"/>
      <c r="N23" s="23"/>
      <c r="O23" s="23"/>
      <c r="P23" s="23"/>
      <c r="Q23" s="23"/>
      <c r="R23" s="23"/>
      <c r="S23" s="25" t="s">
        <v>435</v>
      </c>
    </row>
    <row r="24" spans="1:19" s="52" customFormat="1" ht="94.5">
      <c r="A24" s="61">
        <v>2</v>
      </c>
      <c r="B24" s="43" t="s">
        <v>322</v>
      </c>
      <c r="C24" s="25" t="s">
        <v>320</v>
      </c>
      <c r="D24" s="64" t="s">
        <v>270</v>
      </c>
      <c r="E24" s="64" t="s">
        <v>321</v>
      </c>
      <c r="F24" s="64" t="s">
        <v>323</v>
      </c>
      <c r="G24" s="64" t="s">
        <v>324</v>
      </c>
      <c r="H24" s="55">
        <v>2015</v>
      </c>
      <c r="I24" s="23">
        <v>25129.262</v>
      </c>
      <c r="J24" s="23">
        <f>I24-107.715-8982.38893-7500</f>
        <v>8539.15807</v>
      </c>
      <c r="K24" s="29">
        <f>100-(J24/I24*100)</f>
        <v>66.01906546240792</v>
      </c>
      <c r="L24" s="23">
        <v>8539.158</v>
      </c>
      <c r="M24" s="23"/>
      <c r="N24" s="23"/>
      <c r="O24" s="23"/>
      <c r="P24" s="23"/>
      <c r="Q24" s="23"/>
      <c r="R24" s="23"/>
      <c r="S24" s="25" t="s">
        <v>325</v>
      </c>
    </row>
    <row r="25" spans="1:19" s="52" customFormat="1" ht="94.5">
      <c r="A25" s="61">
        <v>3</v>
      </c>
      <c r="B25" s="43" t="s">
        <v>261</v>
      </c>
      <c r="C25" s="63" t="s">
        <v>293</v>
      </c>
      <c r="D25" s="56" t="s">
        <v>270</v>
      </c>
      <c r="E25" s="64" t="s">
        <v>299</v>
      </c>
      <c r="F25" s="56" t="s">
        <v>294</v>
      </c>
      <c r="G25" s="56" t="s">
        <v>295</v>
      </c>
      <c r="H25" s="55">
        <v>2018</v>
      </c>
      <c r="I25" s="23">
        <v>32780.918</v>
      </c>
      <c r="J25" s="23">
        <f>I25-467.592</f>
        <v>32313.325999999997</v>
      </c>
      <c r="K25" s="29">
        <f>100-(J25/I25*100)</f>
        <v>1.426415208994456</v>
      </c>
      <c r="L25" s="100">
        <v>6000</v>
      </c>
      <c r="M25" s="23"/>
      <c r="N25" s="23"/>
      <c r="O25" s="23">
        <f>J25-L25</f>
        <v>26313.325999999997</v>
      </c>
      <c r="P25" s="23"/>
      <c r="Q25" s="23"/>
      <c r="R25" s="23"/>
      <c r="S25" s="25" t="s">
        <v>296</v>
      </c>
    </row>
    <row r="26" spans="1:19" s="52" customFormat="1" ht="78.75">
      <c r="A26" s="61">
        <v>4</v>
      </c>
      <c r="B26" s="43" t="s">
        <v>354</v>
      </c>
      <c r="C26" s="25" t="s">
        <v>112</v>
      </c>
      <c r="D26" s="56" t="s">
        <v>270</v>
      </c>
      <c r="E26" s="64" t="s">
        <v>434</v>
      </c>
      <c r="F26" s="64"/>
      <c r="G26" s="64"/>
      <c r="H26" s="55"/>
      <c r="I26" s="23">
        <v>35092.864</v>
      </c>
      <c r="J26" s="23">
        <f>I26-492.069</f>
        <v>34600.795</v>
      </c>
      <c r="K26" s="29">
        <v>0</v>
      </c>
      <c r="L26" s="100">
        <v>3000</v>
      </c>
      <c r="M26" s="23"/>
      <c r="N26" s="23"/>
      <c r="O26" s="23">
        <v>15000</v>
      </c>
      <c r="P26" s="23"/>
      <c r="Q26" s="23">
        <f>J26-L26-O26</f>
        <v>16600.795</v>
      </c>
      <c r="R26" s="23"/>
      <c r="S26" s="25" t="s">
        <v>450</v>
      </c>
    </row>
    <row r="27" spans="1:19" s="52" customFormat="1" ht="78.75">
      <c r="A27" s="61">
        <v>5</v>
      </c>
      <c r="B27" s="43" t="s">
        <v>351</v>
      </c>
      <c r="C27" s="25" t="s">
        <v>436</v>
      </c>
      <c r="D27" s="56" t="s">
        <v>270</v>
      </c>
      <c r="E27" s="64" t="s">
        <v>349</v>
      </c>
      <c r="F27" s="64"/>
      <c r="G27" s="64"/>
      <c r="H27" s="55"/>
      <c r="I27" s="28">
        <f>L27+85</f>
        <v>3348.1</v>
      </c>
      <c r="J27" s="28">
        <f>I27-85</f>
        <v>3263.1</v>
      </c>
      <c r="K27" s="29">
        <f>100-(J27/I27*100)</f>
        <v>2.5387533227800816</v>
      </c>
      <c r="L27" s="23">
        <v>3263.1</v>
      </c>
      <c r="M27" s="23"/>
      <c r="N27" s="23"/>
      <c r="O27" s="23"/>
      <c r="P27" s="23"/>
      <c r="Q27" s="23"/>
      <c r="R27" s="23"/>
      <c r="S27" s="25" t="s">
        <v>469</v>
      </c>
    </row>
    <row r="28" spans="1:19" s="52" customFormat="1" ht="47.25">
      <c r="A28" s="61">
        <v>6</v>
      </c>
      <c r="B28" s="43" t="s">
        <v>350</v>
      </c>
      <c r="C28" s="25" t="s">
        <v>125</v>
      </c>
      <c r="D28" s="64" t="s">
        <v>270</v>
      </c>
      <c r="E28" s="64" t="s">
        <v>349</v>
      </c>
      <c r="F28" s="64"/>
      <c r="G28" s="64"/>
      <c r="H28" s="55"/>
      <c r="I28" s="28">
        <v>1475</v>
      </c>
      <c r="J28" s="28">
        <f>I28-75</f>
        <v>1400</v>
      </c>
      <c r="K28" s="29">
        <f>100-(J28/I28*100)</f>
        <v>5.0847457627118615</v>
      </c>
      <c r="L28" s="23">
        <v>1400</v>
      </c>
      <c r="M28" s="23"/>
      <c r="N28" s="23"/>
      <c r="O28" s="23"/>
      <c r="P28" s="23"/>
      <c r="Q28" s="23"/>
      <c r="R28" s="23"/>
      <c r="S28" s="25" t="s">
        <v>446</v>
      </c>
    </row>
    <row r="29" spans="1:19" s="73" customFormat="1" ht="31.5">
      <c r="A29" s="70"/>
      <c r="B29" s="70"/>
      <c r="C29" s="71" t="s">
        <v>395</v>
      </c>
      <c r="D29" s="71"/>
      <c r="E29" s="71"/>
      <c r="F29" s="71"/>
      <c r="G29" s="71"/>
      <c r="H29" s="71"/>
      <c r="I29" s="72">
        <f>SUM(I30:I33)</f>
        <v>52755.573000000004</v>
      </c>
      <c r="J29" s="72">
        <f>SUM(J30:J33)</f>
        <v>33921.136000000006</v>
      </c>
      <c r="K29" s="72" t="s">
        <v>30</v>
      </c>
      <c r="L29" s="72">
        <f aca="true" t="shared" si="4" ref="L29:R29">SUM(L30:L33)</f>
        <v>17000</v>
      </c>
      <c r="M29" s="72">
        <f t="shared" si="4"/>
        <v>0</v>
      </c>
      <c r="N29" s="72">
        <f t="shared" si="4"/>
        <v>0</v>
      </c>
      <c r="O29" s="72">
        <f t="shared" si="4"/>
        <v>0</v>
      </c>
      <c r="P29" s="72">
        <f t="shared" si="4"/>
        <v>0</v>
      </c>
      <c r="Q29" s="72">
        <f t="shared" si="4"/>
        <v>0</v>
      </c>
      <c r="R29" s="72">
        <f t="shared" si="4"/>
        <v>0</v>
      </c>
      <c r="S29" s="72"/>
    </row>
    <row r="30" spans="1:19" s="52" customFormat="1" ht="110.25">
      <c r="A30" s="61">
        <v>1</v>
      </c>
      <c r="B30" s="43" t="s">
        <v>27</v>
      </c>
      <c r="C30" s="25" t="s">
        <v>313</v>
      </c>
      <c r="D30" s="64" t="s">
        <v>270</v>
      </c>
      <c r="E30" s="64" t="s">
        <v>314</v>
      </c>
      <c r="F30" s="64" t="s">
        <v>317</v>
      </c>
      <c r="G30" s="64" t="s">
        <v>316</v>
      </c>
      <c r="H30" s="55">
        <v>2018</v>
      </c>
      <c r="I30" s="23">
        <v>14403.659</v>
      </c>
      <c r="J30" s="23">
        <f>I30-400.791</f>
        <v>14002.868</v>
      </c>
      <c r="K30" s="29">
        <f>100-(J30/I30*100)</f>
        <v>2.7825637916032235</v>
      </c>
      <c r="L30" s="100">
        <v>8000</v>
      </c>
      <c r="M30" s="23"/>
      <c r="N30" s="23"/>
      <c r="O30" s="23"/>
      <c r="P30" s="23"/>
      <c r="Q30" s="23"/>
      <c r="R30" s="23"/>
      <c r="S30" s="25" t="s">
        <v>318</v>
      </c>
    </row>
    <row r="31" spans="1:19" s="52" customFormat="1" ht="94.5">
      <c r="A31" s="61">
        <v>2</v>
      </c>
      <c r="B31" s="43" t="s">
        <v>262</v>
      </c>
      <c r="C31" s="25" t="s">
        <v>79</v>
      </c>
      <c r="D31" s="64" t="s">
        <v>270</v>
      </c>
      <c r="E31" s="64" t="s">
        <v>297</v>
      </c>
      <c r="F31" s="56" t="s">
        <v>300</v>
      </c>
      <c r="G31" s="64" t="s">
        <v>301</v>
      </c>
      <c r="H31" s="55">
        <v>2017</v>
      </c>
      <c r="I31" s="23">
        <v>21981.914</v>
      </c>
      <c r="J31" s="23">
        <f>I31-215.963-14932.538</f>
        <v>6833.4130000000005</v>
      </c>
      <c r="K31" s="29">
        <f>100-(J31/I31*100)</f>
        <v>68.91347586929874</v>
      </c>
      <c r="L31" s="100">
        <v>3000</v>
      </c>
      <c r="M31" s="23"/>
      <c r="N31" s="23"/>
      <c r="O31" s="23"/>
      <c r="P31" s="23"/>
      <c r="Q31" s="23"/>
      <c r="R31" s="23"/>
      <c r="S31" s="25" t="s">
        <v>298</v>
      </c>
    </row>
    <row r="32" spans="1:19" s="52" customFormat="1" ht="94.5">
      <c r="A32" s="61">
        <v>3</v>
      </c>
      <c r="B32" s="43" t="s">
        <v>330</v>
      </c>
      <c r="C32" s="25" t="s">
        <v>61</v>
      </c>
      <c r="D32" s="64" t="s">
        <v>270</v>
      </c>
      <c r="E32" s="64" t="s">
        <v>331</v>
      </c>
      <c r="F32" s="64" t="s">
        <v>332</v>
      </c>
      <c r="G32" s="64" t="s">
        <v>333</v>
      </c>
      <c r="H32" s="55">
        <v>2016</v>
      </c>
      <c r="I32" s="23">
        <v>8570</v>
      </c>
      <c r="J32" s="23">
        <f>I32-1520-71.8</f>
        <v>6978.2</v>
      </c>
      <c r="K32" s="29">
        <f>100-(J32/I32*100)</f>
        <v>18.574095682613773</v>
      </c>
      <c r="L32" s="100">
        <v>3000</v>
      </c>
      <c r="M32" s="23"/>
      <c r="N32" s="23"/>
      <c r="O32" s="23"/>
      <c r="P32" s="23"/>
      <c r="Q32" s="23"/>
      <c r="R32" s="23"/>
      <c r="S32" s="25" t="s">
        <v>447</v>
      </c>
    </row>
    <row r="33" spans="1:19" s="52" customFormat="1" ht="110.25">
      <c r="A33" s="61">
        <v>4</v>
      </c>
      <c r="B33" s="43" t="s">
        <v>326</v>
      </c>
      <c r="C33" s="25" t="s">
        <v>63</v>
      </c>
      <c r="D33" s="64" t="s">
        <v>270</v>
      </c>
      <c r="E33" s="64" t="s">
        <v>327</v>
      </c>
      <c r="F33" s="64" t="s">
        <v>328</v>
      </c>
      <c r="G33" s="64" t="s">
        <v>329</v>
      </c>
      <c r="H33" s="55">
        <v>2016</v>
      </c>
      <c r="I33" s="23">
        <f>4771.333+3028.667</f>
        <v>7800</v>
      </c>
      <c r="J33" s="23">
        <f>I33-1660-33.345</f>
        <v>6106.655</v>
      </c>
      <c r="K33" s="29">
        <f>100-(J33/I33*100)</f>
        <v>21.709551282051294</v>
      </c>
      <c r="L33" s="100">
        <v>3000</v>
      </c>
      <c r="M33" s="23"/>
      <c r="N33" s="23"/>
      <c r="O33" s="23"/>
      <c r="P33" s="23"/>
      <c r="Q33" s="23"/>
      <c r="R33" s="23"/>
      <c r="S33" s="25" t="s">
        <v>448</v>
      </c>
    </row>
    <row r="34" spans="1:19" s="92" customFormat="1" ht="33.75" customHeight="1">
      <c r="A34" s="88"/>
      <c r="B34" s="86"/>
      <c r="C34" s="86" t="s">
        <v>439</v>
      </c>
      <c r="D34" s="86"/>
      <c r="E34" s="86"/>
      <c r="F34" s="86"/>
      <c r="G34" s="86"/>
      <c r="H34" s="89"/>
      <c r="I34" s="90">
        <f>I35</f>
        <v>33100</v>
      </c>
      <c r="J34" s="90">
        <f>J35</f>
        <v>31983.779</v>
      </c>
      <c r="K34" s="91" t="s">
        <v>30</v>
      </c>
      <c r="L34" s="90">
        <f aca="true" t="shared" si="5" ref="L34:R34">L35</f>
        <v>5000</v>
      </c>
      <c r="M34" s="90">
        <f t="shared" si="5"/>
        <v>0</v>
      </c>
      <c r="N34" s="90">
        <f t="shared" si="5"/>
        <v>0</v>
      </c>
      <c r="O34" s="90">
        <f t="shared" si="5"/>
        <v>26983.779</v>
      </c>
      <c r="P34" s="90">
        <f t="shared" si="5"/>
        <v>0</v>
      </c>
      <c r="Q34" s="90">
        <f t="shared" si="5"/>
        <v>0</v>
      </c>
      <c r="R34" s="90">
        <f t="shared" si="5"/>
        <v>0</v>
      </c>
      <c r="S34" s="87"/>
    </row>
    <row r="35" spans="1:19" s="52" customFormat="1" ht="78.75">
      <c r="A35" s="61">
        <v>1</v>
      </c>
      <c r="B35" s="43" t="s">
        <v>292</v>
      </c>
      <c r="C35" s="25" t="s">
        <v>309</v>
      </c>
      <c r="D35" s="64" t="s">
        <v>270</v>
      </c>
      <c r="E35" s="64" t="s">
        <v>399</v>
      </c>
      <c r="F35" s="64"/>
      <c r="G35" s="64"/>
      <c r="H35" s="55">
        <v>2018</v>
      </c>
      <c r="I35" s="28">
        <v>33100</v>
      </c>
      <c r="J35" s="28">
        <f>I35-1116.221</f>
        <v>31983.779</v>
      </c>
      <c r="K35" s="29">
        <f>100-(J35/I35*100)</f>
        <v>3.3722688821752342</v>
      </c>
      <c r="L35" s="100">
        <v>5000</v>
      </c>
      <c r="M35" s="23"/>
      <c r="N35" s="23"/>
      <c r="O35" s="23">
        <f>J35-L35</f>
        <v>26983.779</v>
      </c>
      <c r="P35" s="23"/>
      <c r="Q35" s="23"/>
      <c r="R35" s="23"/>
      <c r="S35" s="25" t="s">
        <v>449</v>
      </c>
    </row>
    <row r="36" spans="1:19" s="52" customFormat="1" ht="15.75">
      <c r="A36" s="77"/>
      <c r="B36" s="78"/>
      <c r="C36" s="79"/>
      <c r="D36" s="80"/>
      <c r="E36" s="80"/>
      <c r="F36" s="80"/>
      <c r="G36" s="80"/>
      <c r="H36" s="81"/>
      <c r="I36" s="94"/>
      <c r="J36" s="94"/>
      <c r="K36" s="82"/>
      <c r="L36" s="83"/>
      <c r="M36" s="83"/>
      <c r="N36" s="83"/>
      <c r="O36" s="83"/>
      <c r="P36" s="83"/>
      <c r="Q36" s="83"/>
      <c r="R36" s="83"/>
      <c r="S36" s="79"/>
    </row>
    <row r="37" spans="2:19" ht="40.5" customHeight="1">
      <c r="B37" s="149" t="s">
        <v>381</v>
      </c>
      <c r="C37" s="149"/>
      <c r="D37" s="149"/>
      <c r="E37" s="149"/>
      <c r="F37" s="149"/>
      <c r="G37" s="149"/>
      <c r="H37" s="149"/>
      <c r="I37" s="149"/>
      <c r="J37" s="149"/>
      <c r="S37" s="18" t="s">
        <v>382</v>
      </c>
    </row>
    <row r="38" ht="15.75">
      <c r="S38" s="18"/>
    </row>
    <row r="39" spans="1:8" ht="15.75">
      <c r="A39" s="18"/>
      <c r="C39" s="19"/>
      <c r="D39" s="57"/>
      <c r="E39" s="57"/>
      <c r="F39" s="57"/>
      <c r="G39" s="57"/>
      <c r="H39" s="57"/>
    </row>
  </sheetData>
  <sheetProtection/>
  <mergeCells count="17">
    <mergeCell ref="S3:S4"/>
    <mergeCell ref="A1:S1"/>
    <mergeCell ref="A3:A4"/>
    <mergeCell ref="B3:B4"/>
    <mergeCell ref="C3:C4"/>
    <mergeCell ref="D3:D4"/>
    <mergeCell ref="E3:E4"/>
    <mergeCell ref="F3:F4"/>
    <mergeCell ref="G3:G4"/>
    <mergeCell ref="H3:H4"/>
    <mergeCell ref="B37:J37"/>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7" max="18" man="1"/>
    <brk id="38" max="9" man="1"/>
  </rowBreaks>
</worksheet>
</file>

<file path=xl/worksheets/sheet12.xml><?xml version="1.0" encoding="utf-8"?>
<worksheet xmlns="http://schemas.openxmlformats.org/spreadsheetml/2006/main" xmlns:r="http://schemas.openxmlformats.org/officeDocument/2006/relationships">
  <sheetPr>
    <tabColor rgb="FFFFC000"/>
  </sheetPr>
  <dimension ref="A1:T41"/>
  <sheetViews>
    <sheetView zoomScale="70" zoomScaleNormal="70" zoomScaleSheetLayoutView="55" zoomScalePageLayoutView="0" workbookViewId="0" topLeftCell="A3">
      <pane xSplit="3" ySplit="3" topLeftCell="D33"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48" t="s">
        <v>451</v>
      </c>
      <c r="B1" s="148"/>
      <c r="C1" s="148"/>
      <c r="D1" s="148"/>
      <c r="E1" s="148"/>
      <c r="F1" s="148"/>
      <c r="G1" s="148"/>
      <c r="H1" s="148"/>
      <c r="I1" s="148"/>
      <c r="J1" s="148"/>
      <c r="K1" s="148"/>
      <c r="L1" s="148"/>
      <c r="M1" s="148"/>
      <c r="N1" s="148"/>
      <c r="O1" s="148"/>
      <c r="P1" s="148"/>
      <c r="Q1" s="148"/>
      <c r="R1" s="148"/>
      <c r="S1" s="148"/>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50" t="s">
        <v>12</v>
      </c>
      <c r="B3" s="150" t="s">
        <v>254</v>
      </c>
      <c r="C3" s="150" t="s">
        <v>256</v>
      </c>
      <c r="D3" s="150" t="s">
        <v>269</v>
      </c>
      <c r="E3" s="150" t="s">
        <v>258</v>
      </c>
      <c r="F3" s="150" t="s">
        <v>259</v>
      </c>
      <c r="G3" s="150" t="s">
        <v>257</v>
      </c>
      <c r="H3" s="150" t="s">
        <v>250</v>
      </c>
      <c r="I3" s="150" t="s">
        <v>11</v>
      </c>
      <c r="J3" s="150" t="s">
        <v>251</v>
      </c>
      <c r="K3" s="150" t="s">
        <v>16</v>
      </c>
      <c r="L3" s="152" t="s">
        <v>241</v>
      </c>
      <c r="M3" s="153"/>
      <c r="N3" s="53" t="s">
        <v>252</v>
      </c>
      <c r="O3" s="154" t="s">
        <v>242</v>
      </c>
      <c r="P3" s="155"/>
      <c r="Q3" s="154" t="s">
        <v>253</v>
      </c>
      <c r="R3" s="155"/>
      <c r="S3" s="150" t="s">
        <v>255</v>
      </c>
    </row>
    <row r="4" spans="1:19" s="54" customFormat="1" ht="129.75" customHeight="1">
      <c r="A4" s="151"/>
      <c r="B4" s="151"/>
      <c r="C4" s="151"/>
      <c r="D4" s="151"/>
      <c r="E4" s="151"/>
      <c r="F4" s="151"/>
      <c r="G4" s="151"/>
      <c r="H4" s="151"/>
      <c r="I4" s="151"/>
      <c r="J4" s="151"/>
      <c r="K4" s="151"/>
      <c r="L4" s="53" t="s">
        <v>273</v>
      </c>
      <c r="M4" s="60" t="s">
        <v>274</v>
      </c>
      <c r="N4" s="53"/>
      <c r="O4" s="75" t="s">
        <v>273</v>
      </c>
      <c r="P4" s="76" t="s">
        <v>274</v>
      </c>
      <c r="Q4" s="75" t="s">
        <v>273</v>
      </c>
      <c r="R4" s="76" t="s">
        <v>274</v>
      </c>
      <c r="S4" s="151"/>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I7+I18+I23+I26+I31+I36</f>
        <v>230989.445</v>
      </c>
      <c r="J6" s="22">
        <f>J7+J18+J23+J26+J31+J36</f>
        <v>163609.07609000002</v>
      </c>
      <c r="K6" s="22" t="s">
        <v>30</v>
      </c>
      <c r="L6" s="22">
        <f>L7+L18+L23+L26+L31+L36</f>
        <v>115252.212</v>
      </c>
      <c r="M6" s="22">
        <f>M7+M18+M23+M26+M31+M36</f>
        <v>1950</v>
      </c>
      <c r="N6" s="22" t="e">
        <f>N7+N18+N23+N26+N31+#REF!</f>
        <v>#REF!</v>
      </c>
      <c r="O6" s="22" t="e">
        <f>O7+O18+O23+O26+O31+#REF!</f>
        <v>#REF!</v>
      </c>
      <c r="P6" s="22" t="e">
        <f>P7+P18+P23+P26+P31+#REF!</f>
        <v>#REF!</v>
      </c>
      <c r="Q6" s="22" t="e">
        <f>Q7+Q18+Q23+Q26+Q31+#REF!</f>
        <v>#REF!</v>
      </c>
      <c r="R6" s="22" t="e">
        <f>R7+R18+R23+R26+R31+#REF!</f>
        <v>#REF!</v>
      </c>
      <c r="S6" s="22" t="s">
        <v>30</v>
      </c>
    </row>
    <row r="7" spans="1:19" s="73" customFormat="1" ht="31.5">
      <c r="A7" s="70"/>
      <c r="B7" s="70"/>
      <c r="C7" s="71" t="s">
        <v>383</v>
      </c>
      <c r="D7" s="71"/>
      <c r="E7" s="71"/>
      <c r="F7" s="71"/>
      <c r="G7" s="71"/>
      <c r="H7" s="71"/>
      <c r="I7" s="72">
        <f>SUM(I8:I17)</f>
        <v>97885.713</v>
      </c>
      <c r="J7" s="72">
        <f>SUM(J8:J17)</f>
        <v>70961.388</v>
      </c>
      <c r="K7" s="72" t="s">
        <v>30</v>
      </c>
      <c r="L7" s="72">
        <f>SUM(L8:L17)</f>
        <v>44325.659999999996</v>
      </c>
      <c r="M7" s="72">
        <f>SUM(M8:M17)</f>
        <v>450</v>
      </c>
      <c r="N7" s="72">
        <f>SUM(N8:N16)</f>
        <v>0</v>
      </c>
      <c r="O7" s="72">
        <f>SUM(O8:O16)</f>
        <v>13514.365000000005</v>
      </c>
      <c r="P7" s="72">
        <f>SUM(P8:P16)</f>
        <v>0</v>
      </c>
      <c r="Q7" s="72">
        <f>SUM(Q8:Q16)</f>
        <v>0</v>
      </c>
      <c r="R7" s="72">
        <f>SUM(R8:R16)</f>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0" ref="K8:K17">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0"/>
        <v>72.0661730014534</v>
      </c>
      <c r="L9" s="100">
        <v>1000</v>
      </c>
      <c r="M9" s="23"/>
      <c r="N9" s="23"/>
      <c r="O9" s="23"/>
      <c r="P9" s="23"/>
      <c r="Q9" s="23"/>
      <c r="R9" s="23"/>
      <c r="S9" s="74" t="s">
        <v>409</v>
      </c>
      <c r="T9" s="52" t="s">
        <v>271</v>
      </c>
    </row>
    <row r="10" spans="1:20" s="110" customFormat="1" ht="110.25">
      <c r="A10" s="101">
        <v>3</v>
      </c>
      <c r="B10" s="102" t="s">
        <v>263</v>
      </c>
      <c r="C10" s="103" t="s">
        <v>246</v>
      </c>
      <c r="D10" s="111" t="s">
        <v>270</v>
      </c>
      <c r="E10" s="104" t="s">
        <v>277</v>
      </c>
      <c r="F10" s="104" t="s">
        <v>279</v>
      </c>
      <c r="G10" s="104" t="s">
        <v>278</v>
      </c>
      <c r="H10" s="105">
        <v>2016</v>
      </c>
      <c r="I10" s="106">
        <f>27620.08+9999.92</f>
        <v>37620</v>
      </c>
      <c r="J10" s="106">
        <f>I10-2093.695-2249.698-6262.242</f>
        <v>27014.365000000005</v>
      </c>
      <c r="K10" s="107">
        <f t="shared" si="0"/>
        <v>28.191480595427947</v>
      </c>
      <c r="L10" s="106">
        <v>13500</v>
      </c>
      <c r="M10" s="106"/>
      <c r="N10" s="106"/>
      <c r="O10" s="106">
        <f>J10-L10</f>
        <v>13514.365000000005</v>
      </c>
      <c r="P10" s="106"/>
      <c r="Q10" s="106"/>
      <c r="R10" s="106"/>
      <c r="S10" s="109" t="s">
        <v>470</v>
      </c>
      <c r="T10" s="110"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0"/>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0"/>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0"/>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0"/>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0"/>
        <v>54.10008243711811</v>
      </c>
      <c r="L15" s="23">
        <v>2917.564</v>
      </c>
      <c r="M15" s="23"/>
      <c r="N15" s="23"/>
      <c r="O15" s="23"/>
      <c r="P15" s="23"/>
      <c r="Q15" s="23"/>
      <c r="R15" s="23"/>
      <c r="S15" s="25" t="s">
        <v>431</v>
      </c>
    </row>
    <row r="16" spans="1:19" s="52" customFormat="1" ht="173.25">
      <c r="A16" s="61">
        <v>9</v>
      </c>
      <c r="B16" s="43" t="s">
        <v>266</v>
      </c>
      <c r="C16" s="67" t="s">
        <v>286</v>
      </c>
      <c r="D16" s="66" t="s">
        <v>270</v>
      </c>
      <c r="E16" s="56"/>
      <c r="F16" s="56"/>
      <c r="G16" s="56"/>
      <c r="H16" s="55"/>
      <c r="I16" s="23">
        <v>8811.245</v>
      </c>
      <c r="J16" s="99">
        <v>8749.895</v>
      </c>
      <c r="K16" s="29">
        <f t="shared" si="0"/>
        <v>0.6962693694250959</v>
      </c>
      <c r="L16" s="23">
        <v>1200</v>
      </c>
      <c r="M16" s="23">
        <v>150</v>
      </c>
      <c r="N16" s="23"/>
      <c r="O16" s="23"/>
      <c r="P16" s="23"/>
      <c r="Q16" s="23"/>
      <c r="R16" s="23"/>
      <c r="S16" s="84" t="s">
        <v>462</v>
      </c>
    </row>
    <row r="17" spans="1:19" s="110" customFormat="1" ht="63">
      <c r="A17" s="101">
        <v>17</v>
      </c>
      <c r="B17" s="102" t="s">
        <v>283</v>
      </c>
      <c r="C17" s="112" t="s">
        <v>289</v>
      </c>
      <c r="D17" s="111" t="s">
        <v>270</v>
      </c>
      <c r="E17" s="104"/>
      <c r="F17" s="104"/>
      <c r="G17" s="104"/>
      <c r="H17" s="105"/>
      <c r="I17" s="106">
        <f>L17</f>
        <v>5750</v>
      </c>
      <c r="J17" s="106">
        <f>I17</f>
        <v>5750</v>
      </c>
      <c r="K17" s="107">
        <f t="shared" si="0"/>
        <v>0</v>
      </c>
      <c r="L17" s="106">
        <v>5750</v>
      </c>
      <c r="M17" s="106">
        <v>300</v>
      </c>
      <c r="N17" s="106"/>
      <c r="O17" s="106"/>
      <c r="P17" s="106"/>
      <c r="Q17" s="106"/>
      <c r="R17" s="106"/>
      <c r="S17" s="113" t="s">
        <v>421</v>
      </c>
    </row>
    <row r="18" spans="1:19" s="73" customFormat="1" ht="31.5">
      <c r="A18" s="70"/>
      <c r="B18" s="70"/>
      <c r="C18" s="71" t="s">
        <v>391</v>
      </c>
      <c r="D18" s="71"/>
      <c r="E18" s="71"/>
      <c r="F18" s="71"/>
      <c r="G18" s="71"/>
      <c r="H18" s="71"/>
      <c r="I18" s="72">
        <f>SUM(I19:I22)</f>
        <v>31595.797</v>
      </c>
      <c r="J18" s="72">
        <f>SUM(J19:J22)</f>
        <v>31209.444</v>
      </c>
      <c r="K18" s="72" t="s">
        <v>30</v>
      </c>
      <c r="L18" s="72">
        <f aca="true" t="shared" si="1" ref="L18:R18">SUM(L19:L22)</f>
        <v>27709.444</v>
      </c>
      <c r="M18" s="72">
        <f t="shared" si="1"/>
        <v>500</v>
      </c>
      <c r="N18" s="72">
        <f t="shared" si="1"/>
        <v>0</v>
      </c>
      <c r="O18" s="72">
        <f t="shared" si="1"/>
        <v>0</v>
      </c>
      <c r="P18" s="72">
        <f t="shared" si="1"/>
        <v>0</v>
      </c>
      <c r="Q18" s="72">
        <f t="shared" si="1"/>
        <v>0</v>
      </c>
      <c r="R18" s="72">
        <f t="shared" si="1"/>
        <v>0</v>
      </c>
      <c r="S18" s="72"/>
    </row>
    <row r="19" spans="1:19" s="52" customFormat="1" ht="94.5">
      <c r="A19" s="61">
        <v>3</v>
      </c>
      <c r="B19" s="43" t="s">
        <v>334</v>
      </c>
      <c r="C19" s="25" t="s">
        <v>335</v>
      </c>
      <c r="D19" s="64" t="s">
        <v>270</v>
      </c>
      <c r="E19" s="64" t="s">
        <v>336</v>
      </c>
      <c r="F19" s="64"/>
      <c r="G19" s="64"/>
      <c r="H19" s="55">
        <v>2018</v>
      </c>
      <c r="I19" s="23">
        <v>7785.333</v>
      </c>
      <c r="J19" s="23">
        <f>I19-47.473-237.86</f>
        <v>7500</v>
      </c>
      <c r="K19" s="29">
        <f>100-(J19/I19*100)</f>
        <v>3.6650070074073824</v>
      </c>
      <c r="L19" s="100">
        <v>4000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100-(J20/I20*100)</f>
        <v>4.283971897144355</v>
      </c>
      <c r="L20" s="23">
        <v>1899.14</v>
      </c>
      <c r="M20" s="23"/>
      <c r="N20" s="23"/>
      <c r="O20" s="23"/>
      <c r="P20" s="23"/>
      <c r="Q20" s="23"/>
      <c r="R20" s="23"/>
      <c r="S20" s="25" t="s">
        <v>369</v>
      </c>
    </row>
    <row r="21" spans="1:19" s="110" customFormat="1" ht="78.75">
      <c r="A21" s="101">
        <v>6</v>
      </c>
      <c r="B21" s="102" t="s">
        <v>305</v>
      </c>
      <c r="C21" s="103" t="s">
        <v>473</v>
      </c>
      <c r="D21" s="104" t="s">
        <v>270</v>
      </c>
      <c r="E21" s="104" t="s">
        <v>363</v>
      </c>
      <c r="F21" s="104"/>
      <c r="G21" s="104"/>
      <c r="H21" s="105"/>
      <c r="I21" s="106">
        <f>L21</f>
        <v>20000</v>
      </c>
      <c r="J21" s="106">
        <f>I21</f>
        <v>20000</v>
      </c>
      <c r="K21" s="107">
        <f>100-(J21/I21*100)</f>
        <v>0</v>
      </c>
      <c r="L21" s="106">
        <v>20000</v>
      </c>
      <c r="M21" s="108">
        <v>500</v>
      </c>
      <c r="N21" s="106"/>
      <c r="O21" s="106"/>
      <c r="P21" s="106"/>
      <c r="Q21" s="106"/>
      <c r="R21" s="106"/>
      <c r="S21" s="109" t="s">
        <v>474</v>
      </c>
    </row>
    <row r="22" spans="1:19" s="52" customFormat="1" ht="78.75">
      <c r="A22" s="61">
        <v>12</v>
      </c>
      <c r="B22" s="43" t="s">
        <v>372</v>
      </c>
      <c r="C22" s="25" t="s">
        <v>471</v>
      </c>
      <c r="D22" s="64" t="s">
        <v>270</v>
      </c>
      <c r="E22" s="64" t="s">
        <v>468</v>
      </c>
      <c r="F22" s="64"/>
      <c r="G22" s="64"/>
      <c r="H22" s="55"/>
      <c r="I22" s="23">
        <v>1826.324</v>
      </c>
      <c r="J22" s="23">
        <f>I22-16.02</f>
        <v>1810.304</v>
      </c>
      <c r="K22" s="29">
        <f>100-(J22/I22*100)</f>
        <v>0.8771718490257001</v>
      </c>
      <c r="L22" s="23">
        <v>1810.304</v>
      </c>
      <c r="M22" s="23"/>
      <c r="N22" s="23"/>
      <c r="O22" s="23"/>
      <c r="P22" s="23"/>
      <c r="Q22" s="23"/>
      <c r="R22" s="23"/>
      <c r="S22" s="25" t="s">
        <v>472</v>
      </c>
    </row>
    <row r="23" spans="1:19" s="73" customFormat="1" ht="31.5">
      <c r="A23" s="70"/>
      <c r="B23" s="70"/>
      <c r="C23" s="71" t="s">
        <v>393</v>
      </c>
      <c r="D23" s="71"/>
      <c r="E23" s="71"/>
      <c r="F23" s="71"/>
      <c r="G23" s="71"/>
      <c r="H23" s="71"/>
      <c r="I23" s="72">
        <f>SUM(I24:I25)</f>
        <v>6000</v>
      </c>
      <c r="J23" s="72">
        <f>SUM(J24:J25)</f>
        <v>6000</v>
      </c>
      <c r="K23" s="72" t="s">
        <v>30</v>
      </c>
      <c r="L23" s="72">
        <f>SUM(L24:L25)</f>
        <v>4700</v>
      </c>
      <c r="M23" s="72">
        <f>SUM(M24:M25)</f>
        <v>600</v>
      </c>
      <c r="N23" s="72">
        <f>SUM(N26:N35)</f>
        <v>0</v>
      </c>
      <c r="O23" s="72">
        <f>SUM(O26:O35)</f>
        <v>0</v>
      </c>
      <c r="P23" s="72">
        <f>SUM(P26:P35)</f>
        <v>0</v>
      </c>
      <c r="Q23" s="72">
        <f>SUM(Q26:Q35)</f>
        <v>0</v>
      </c>
      <c r="R23" s="72">
        <f>SUM(R26:R35)</f>
        <v>0</v>
      </c>
      <c r="S23" s="72"/>
    </row>
    <row r="24" spans="1:19" s="110" customFormat="1" ht="63">
      <c r="A24" s="101">
        <v>1</v>
      </c>
      <c r="B24" s="102" t="s">
        <v>342</v>
      </c>
      <c r="C24" s="114" t="s">
        <v>99</v>
      </c>
      <c r="D24" s="107" t="s">
        <v>270</v>
      </c>
      <c r="E24" s="107"/>
      <c r="F24" s="107"/>
      <c r="G24" s="107"/>
      <c r="H24" s="105"/>
      <c r="I24" s="115">
        <f>L24+O24</f>
        <v>3500</v>
      </c>
      <c r="J24" s="115">
        <f>I24</f>
        <v>3500</v>
      </c>
      <c r="K24" s="107">
        <f>100-(J24/I24*100)</f>
        <v>0</v>
      </c>
      <c r="L24" s="106">
        <v>2200</v>
      </c>
      <c r="M24" s="106">
        <v>400</v>
      </c>
      <c r="N24" s="106"/>
      <c r="O24" s="106">
        <v>1300</v>
      </c>
      <c r="P24" s="106"/>
      <c r="Q24" s="106"/>
      <c r="R24" s="106"/>
      <c r="S24" s="109" t="s">
        <v>466</v>
      </c>
    </row>
    <row r="25" spans="1:19" s="110" customFormat="1" ht="63">
      <c r="A25" s="101">
        <v>2</v>
      </c>
      <c r="B25" s="102" t="s">
        <v>342</v>
      </c>
      <c r="C25" s="109" t="s">
        <v>98</v>
      </c>
      <c r="D25" s="116" t="s">
        <v>270</v>
      </c>
      <c r="E25" s="116"/>
      <c r="F25" s="116"/>
      <c r="G25" s="116"/>
      <c r="H25" s="105"/>
      <c r="I25" s="115">
        <f>L25+O25</f>
        <v>2500</v>
      </c>
      <c r="J25" s="115">
        <f>I25</f>
        <v>2500</v>
      </c>
      <c r="K25" s="107">
        <f>100-(J25/I25*100)</f>
        <v>0</v>
      </c>
      <c r="L25" s="106">
        <v>2500</v>
      </c>
      <c r="M25" s="106">
        <v>200</v>
      </c>
      <c r="N25" s="106"/>
      <c r="O25" s="106"/>
      <c r="P25" s="106"/>
      <c r="Q25" s="106"/>
      <c r="R25" s="106"/>
      <c r="S25" s="109" t="s">
        <v>465</v>
      </c>
    </row>
    <row r="26" spans="1:19" s="73" customFormat="1" ht="31.5">
      <c r="A26" s="70"/>
      <c r="B26" s="70"/>
      <c r="C26" s="71" t="s">
        <v>394</v>
      </c>
      <c r="D26" s="71"/>
      <c r="E26" s="71"/>
      <c r="F26" s="71"/>
      <c r="G26" s="71"/>
      <c r="H26" s="71"/>
      <c r="I26" s="72">
        <f>SUM(I27:I30)</f>
        <v>39252.362</v>
      </c>
      <c r="J26" s="72">
        <f>SUM(J27:J30)</f>
        <v>18017.108089999998</v>
      </c>
      <c r="K26" s="72" t="s">
        <v>30</v>
      </c>
      <c r="L26" s="72">
        <f aca="true" t="shared" si="2" ref="L26:R26">SUM(L27:L30)</f>
        <v>18017.108</v>
      </c>
      <c r="M26" s="72">
        <f t="shared" si="2"/>
        <v>0</v>
      </c>
      <c r="N26" s="72">
        <f t="shared" si="2"/>
        <v>0</v>
      </c>
      <c r="O26" s="72">
        <f t="shared" si="2"/>
        <v>0</v>
      </c>
      <c r="P26" s="72">
        <f t="shared" si="2"/>
        <v>0</v>
      </c>
      <c r="Q26" s="72">
        <f t="shared" si="2"/>
        <v>0</v>
      </c>
      <c r="R26" s="72">
        <f t="shared" si="2"/>
        <v>0</v>
      </c>
      <c r="S26" s="72"/>
    </row>
    <row r="27" spans="1:19" s="52" customFormat="1" ht="94.5">
      <c r="A27" s="61">
        <v>1</v>
      </c>
      <c r="B27" s="43" t="s">
        <v>292</v>
      </c>
      <c r="C27" s="25" t="s">
        <v>310</v>
      </c>
      <c r="D27" s="64" t="s">
        <v>270</v>
      </c>
      <c r="E27" s="64" t="s">
        <v>311</v>
      </c>
      <c r="F27" s="64" t="s">
        <v>315</v>
      </c>
      <c r="G27" s="64" t="s">
        <v>312</v>
      </c>
      <c r="H27" s="55">
        <v>2016</v>
      </c>
      <c r="I27" s="28">
        <f>4485.15+4814.85</f>
        <v>9300</v>
      </c>
      <c r="J27" s="28">
        <f>I27-1990.93498-2494.215</f>
        <v>4814.85002</v>
      </c>
      <c r="K27" s="29">
        <f>100-(J27/I27*100)</f>
        <v>48.22741913978494</v>
      </c>
      <c r="L27" s="23">
        <v>4814.85</v>
      </c>
      <c r="M27" s="23"/>
      <c r="N27" s="23"/>
      <c r="O27" s="23"/>
      <c r="P27" s="23"/>
      <c r="Q27" s="23"/>
      <c r="R27" s="23"/>
      <c r="S27" s="25" t="s">
        <v>435</v>
      </c>
    </row>
    <row r="28" spans="1:19" s="52" customFormat="1" ht="94.5">
      <c r="A28" s="61">
        <v>2</v>
      </c>
      <c r="B28" s="43" t="s">
        <v>322</v>
      </c>
      <c r="C28" s="25" t="s">
        <v>320</v>
      </c>
      <c r="D28" s="64" t="s">
        <v>270</v>
      </c>
      <c r="E28" s="64" t="s">
        <v>321</v>
      </c>
      <c r="F28" s="64" t="s">
        <v>323</v>
      </c>
      <c r="G28" s="64" t="s">
        <v>324</v>
      </c>
      <c r="H28" s="55">
        <v>2015</v>
      </c>
      <c r="I28" s="23">
        <v>25129.262</v>
      </c>
      <c r="J28" s="23">
        <f>I28-107.715-8982.38893-7500</f>
        <v>8539.15807</v>
      </c>
      <c r="K28" s="29">
        <f>100-(J28/I28*100)</f>
        <v>66.01906546240792</v>
      </c>
      <c r="L28" s="23">
        <v>8539.158</v>
      </c>
      <c r="M28" s="23"/>
      <c r="N28" s="23"/>
      <c r="O28" s="23"/>
      <c r="P28" s="23"/>
      <c r="Q28" s="23"/>
      <c r="R28" s="23"/>
      <c r="S28" s="25" t="s">
        <v>325</v>
      </c>
    </row>
    <row r="29" spans="1:19" s="52" customFormat="1" ht="78.75">
      <c r="A29" s="61">
        <v>5</v>
      </c>
      <c r="B29" s="43" t="s">
        <v>351</v>
      </c>
      <c r="C29" s="25" t="s">
        <v>436</v>
      </c>
      <c r="D29" s="56" t="s">
        <v>270</v>
      </c>
      <c r="E29" s="64" t="s">
        <v>349</v>
      </c>
      <c r="F29" s="64"/>
      <c r="G29" s="64"/>
      <c r="H29" s="55"/>
      <c r="I29" s="28">
        <f>L29+85</f>
        <v>3348.1</v>
      </c>
      <c r="J29" s="28">
        <f>I29-85</f>
        <v>3263.1</v>
      </c>
      <c r="K29" s="29">
        <f>100-(J29/I29*100)</f>
        <v>2.5387533227800816</v>
      </c>
      <c r="L29" s="23">
        <v>3263.1</v>
      </c>
      <c r="M29" s="23"/>
      <c r="N29" s="23"/>
      <c r="O29" s="23"/>
      <c r="P29" s="23"/>
      <c r="Q29" s="23"/>
      <c r="R29" s="23"/>
      <c r="S29" s="25" t="s">
        <v>469</v>
      </c>
    </row>
    <row r="30" spans="1:19" s="52" customFormat="1" ht="47.25">
      <c r="A30" s="61">
        <v>6</v>
      </c>
      <c r="B30" s="43" t="s">
        <v>350</v>
      </c>
      <c r="C30" s="25" t="s">
        <v>125</v>
      </c>
      <c r="D30" s="64" t="s">
        <v>270</v>
      </c>
      <c r="E30" s="64" t="s">
        <v>349</v>
      </c>
      <c r="F30" s="64"/>
      <c r="G30" s="64"/>
      <c r="H30" s="55"/>
      <c r="I30" s="28">
        <v>1475</v>
      </c>
      <c r="J30" s="28">
        <f>I30-75</f>
        <v>1400</v>
      </c>
      <c r="K30" s="29">
        <f>100-(J30/I30*100)</f>
        <v>5.0847457627118615</v>
      </c>
      <c r="L30" s="23">
        <v>1400</v>
      </c>
      <c r="M30" s="23"/>
      <c r="N30" s="23"/>
      <c r="O30" s="23"/>
      <c r="P30" s="23"/>
      <c r="Q30" s="23"/>
      <c r="R30" s="23"/>
      <c r="S30" s="25" t="s">
        <v>446</v>
      </c>
    </row>
    <row r="31" spans="1:19" s="73" customFormat="1" ht="31.5">
      <c r="A31" s="70"/>
      <c r="B31" s="70"/>
      <c r="C31" s="71" t="s">
        <v>395</v>
      </c>
      <c r="D31" s="71"/>
      <c r="E31" s="71"/>
      <c r="F31" s="71"/>
      <c r="G31" s="71"/>
      <c r="H31" s="71"/>
      <c r="I31" s="72">
        <f>SUM(I32:I35)</f>
        <v>52755.573000000004</v>
      </c>
      <c r="J31" s="72">
        <f>SUM(J32:J35)</f>
        <v>33921.136000000006</v>
      </c>
      <c r="K31" s="72" t="s">
        <v>30</v>
      </c>
      <c r="L31" s="72">
        <f aca="true" t="shared" si="3" ref="L31:R31">SUM(L32:L35)</f>
        <v>17000</v>
      </c>
      <c r="M31" s="72">
        <f t="shared" si="3"/>
        <v>0</v>
      </c>
      <c r="N31" s="72">
        <f t="shared" si="3"/>
        <v>0</v>
      </c>
      <c r="O31" s="72">
        <f t="shared" si="3"/>
        <v>0</v>
      </c>
      <c r="P31" s="72">
        <f t="shared" si="3"/>
        <v>0</v>
      </c>
      <c r="Q31" s="72">
        <f t="shared" si="3"/>
        <v>0</v>
      </c>
      <c r="R31" s="72">
        <f t="shared" si="3"/>
        <v>0</v>
      </c>
      <c r="S31" s="72"/>
    </row>
    <row r="32" spans="1:19" s="110" customFormat="1" ht="110.25">
      <c r="A32" s="101">
        <v>1</v>
      </c>
      <c r="B32" s="102" t="s">
        <v>27</v>
      </c>
      <c r="C32" s="109" t="s">
        <v>313</v>
      </c>
      <c r="D32" s="116" t="s">
        <v>270</v>
      </c>
      <c r="E32" s="116" t="s">
        <v>314</v>
      </c>
      <c r="F32" s="116" t="s">
        <v>317</v>
      </c>
      <c r="G32" s="116" t="s">
        <v>316</v>
      </c>
      <c r="H32" s="105">
        <v>2018</v>
      </c>
      <c r="I32" s="106">
        <v>14403.659</v>
      </c>
      <c r="J32" s="106">
        <f>I32-400.791</f>
        <v>14002.868</v>
      </c>
      <c r="K32" s="107">
        <f>100-(J32/I32*100)</f>
        <v>2.7825637916032235</v>
      </c>
      <c r="L32" s="108">
        <v>8000</v>
      </c>
      <c r="M32" s="106"/>
      <c r="N32" s="106"/>
      <c r="O32" s="106"/>
      <c r="P32" s="106"/>
      <c r="Q32" s="106"/>
      <c r="R32" s="106"/>
      <c r="S32" s="109" t="s">
        <v>318</v>
      </c>
    </row>
    <row r="33" spans="1:19" s="110" customFormat="1" ht="94.5">
      <c r="A33" s="101">
        <v>2</v>
      </c>
      <c r="B33" s="102" t="s">
        <v>262</v>
      </c>
      <c r="C33" s="109" t="s">
        <v>79</v>
      </c>
      <c r="D33" s="116" t="s">
        <v>270</v>
      </c>
      <c r="E33" s="116" t="s">
        <v>297</v>
      </c>
      <c r="F33" s="104" t="s">
        <v>300</v>
      </c>
      <c r="G33" s="116" t="s">
        <v>301</v>
      </c>
      <c r="H33" s="105">
        <v>2017</v>
      </c>
      <c r="I33" s="106">
        <v>21981.914</v>
      </c>
      <c r="J33" s="106">
        <f>I33-215.963-14932.538</f>
        <v>6833.4130000000005</v>
      </c>
      <c r="K33" s="107">
        <f>100-(J33/I33*100)</f>
        <v>68.91347586929874</v>
      </c>
      <c r="L33" s="108">
        <v>3000</v>
      </c>
      <c r="M33" s="106"/>
      <c r="N33" s="106"/>
      <c r="O33" s="106"/>
      <c r="P33" s="106"/>
      <c r="Q33" s="106"/>
      <c r="R33" s="106"/>
      <c r="S33" s="109" t="s">
        <v>298</v>
      </c>
    </row>
    <row r="34" spans="1:19" s="110" customFormat="1" ht="94.5">
      <c r="A34" s="101">
        <v>3</v>
      </c>
      <c r="B34" s="102" t="s">
        <v>330</v>
      </c>
      <c r="C34" s="109" t="s">
        <v>61</v>
      </c>
      <c r="D34" s="116" t="s">
        <v>270</v>
      </c>
      <c r="E34" s="116" t="s">
        <v>331</v>
      </c>
      <c r="F34" s="116" t="s">
        <v>332</v>
      </c>
      <c r="G34" s="116" t="s">
        <v>333</v>
      </c>
      <c r="H34" s="105">
        <v>2016</v>
      </c>
      <c r="I34" s="106">
        <v>8570</v>
      </c>
      <c r="J34" s="106">
        <f>I34-1520-71.8</f>
        <v>6978.2</v>
      </c>
      <c r="K34" s="107">
        <f>100-(J34/I34*100)</f>
        <v>18.574095682613773</v>
      </c>
      <c r="L34" s="108">
        <v>3000</v>
      </c>
      <c r="M34" s="106"/>
      <c r="N34" s="106"/>
      <c r="O34" s="106"/>
      <c r="P34" s="106"/>
      <c r="Q34" s="106"/>
      <c r="R34" s="106"/>
      <c r="S34" s="109" t="s">
        <v>447</v>
      </c>
    </row>
    <row r="35" spans="1:19" s="110" customFormat="1" ht="110.25">
      <c r="A35" s="101">
        <v>4</v>
      </c>
      <c r="B35" s="102" t="s">
        <v>326</v>
      </c>
      <c r="C35" s="109" t="s">
        <v>63</v>
      </c>
      <c r="D35" s="116" t="s">
        <v>270</v>
      </c>
      <c r="E35" s="116" t="s">
        <v>327</v>
      </c>
      <c r="F35" s="116" t="s">
        <v>328</v>
      </c>
      <c r="G35" s="116" t="s">
        <v>329</v>
      </c>
      <c r="H35" s="105">
        <v>2016</v>
      </c>
      <c r="I35" s="106">
        <f>4771.333+3028.667</f>
        <v>7800</v>
      </c>
      <c r="J35" s="106">
        <f>I35-1660-33.345</f>
        <v>6106.655</v>
      </c>
      <c r="K35" s="107">
        <f>100-(J35/I35*100)</f>
        <v>21.709551282051294</v>
      </c>
      <c r="L35" s="108">
        <v>3000</v>
      </c>
      <c r="M35" s="106"/>
      <c r="N35" s="106"/>
      <c r="O35" s="106"/>
      <c r="P35" s="106"/>
      <c r="Q35" s="106"/>
      <c r="R35" s="106"/>
      <c r="S35" s="109" t="s">
        <v>448</v>
      </c>
    </row>
    <row r="36" spans="1:19" s="92" customFormat="1" ht="63" customHeight="1">
      <c r="A36" s="88"/>
      <c r="B36" s="86"/>
      <c r="C36" s="86" t="s">
        <v>463</v>
      </c>
      <c r="D36" s="86"/>
      <c r="E36" s="86"/>
      <c r="F36" s="86"/>
      <c r="G36" s="86"/>
      <c r="H36" s="89"/>
      <c r="I36" s="90">
        <f>I37</f>
        <v>3500</v>
      </c>
      <c r="J36" s="90">
        <f>J37</f>
        <v>3500</v>
      </c>
      <c r="K36" s="91" t="s">
        <v>30</v>
      </c>
      <c r="L36" s="90">
        <f aca="true" t="shared" si="4" ref="L36:R36">L37</f>
        <v>3500</v>
      </c>
      <c r="M36" s="90">
        <f t="shared" si="4"/>
        <v>400</v>
      </c>
      <c r="N36" s="90">
        <f t="shared" si="4"/>
        <v>0</v>
      </c>
      <c r="O36" s="90">
        <f t="shared" si="4"/>
        <v>0</v>
      </c>
      <c r="P36" s="90">
        <f t="shared" si="4"/>
        <v>0</v>
      </c>
      <c r="Q36" s="90">
        <f t="shared" si="4"/>
        <v>0</v>
      </c>
      <c r="R36" s="90">
        <f t="shared" si="4"/>
        <v>0</v>
      </c>
      <c r="S36" s="87"/>
    </row>
    <row r="37" spans="1:19" s="110" customFormat="1" ht="220.5">
      <c r="A37" s="101">
        <v>1</v>
      </c>
      <c r="B37" s="102" t="s">
        <v>292</v>
      </c>
      <c r="C37" s="109" t="s">
        <v>309</v>
      </c>
      <c r="D37" s="116" t="s">
        <v>270</v>
      </c>
      <c r="E37" s="116"/>
      <c r="F37" s="116"/>
      <c r="G37" s="116"/>
      <c r="H37" s="105"/>
      <c r="I37" s="115">
        <v>3500</v>
      </c>
      <c r="J37" s="115">
        <f>I37</f>
        <v>3500</v>
      </c>
      <c r="K37" s="107">
        <f>100-(J37/I37*100)</f>
        <v>0</v>
      </c>
      <c r="L37" s="106">
        <v>3500</v>
      </c>
      <c r="M37" s="106">
        <v>400</v>
      </c>
      <c r="N37" s="106"/>
      <c r="O37" s="106">
        <f>J37-L37</f>
        <v>0</v>
      </c>
      <c r="P37" s="106"/>
      <c r="Q37" s="106"/>
      <c r="R37" s="106"/>
      <c r="S37" s="109" t="s">
        <v>464</v>
      </c>
    </row>
    <row r="38" spans="1:19" s="52" customFormat="1" ht="15.75">
      <c r="A38" s="77"/>
      <c r="B38" s="78"/>
      <c r="C38" s="79"/>
      <c r="D38" s="80"/>
      <c r="E38" s="80"/>
      <c r="F38" s="80"/>
      <c r="G38" s="80"/>
      <c r="H38" s="81"/>
      <c r="I38" s="94"/>
      <c r="J38" s="94"/>
      <c r="K38" s="82"/>
      <c r="L38" s="83"/>
      <c r="M38" s="83"/>
      <c r="N38" s="83"/>
      <c r="O38" s="83"/>
      <c r="P38" s="83"/>
      <c r="Q38" s="83"/>
      <c r="R38" s="83"/>
      <c r="S38" s="79"/>
    </row>
    <row r="39" spans="2:19" ht="40.5" customHeight="1">
      <c r="B39" s="149" t="s">
        <v>381</v>
      </c>
      <c r="C39" s="149"/>
      <c r="D39" s="149"/>
      <c r="E39" s="149"/>
      <c r="F39" s="149"/>
      <c r="G39" s="149"/>
      <c r="H39" s="149"/>
      <c r="I39" s="149"/>
      <c r="J39" s="149"/>
      <c r="S39" s="18" t="s">
        <v>382</v>
      </c>
    </row>
    <row r="40" ht="15.75">
      <c r="S40" s="18"/>
    </row>
    <row r="41" spans="1:8" ht="15.75">
      <c r="A41" s="18"/>
      <c r="C41" s="19"/>
      <c r="D41" s="57"/>
      <c r="E41" s="57"/>
      <c r="F41" s="57"/>
      <c r="G41" s="57"/>
      <c r="H41" s="57"/>
    </row>
  </sheetData>
  <sheetProtection/>
  <mergeCells count="17">
    <mergeCell ref="B39:J39"/>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9" max="18" man="1"/>
    <brk id="40" max="9" man="1"/>
  </rowBreaks>
</worksheet>
</file>

<file path=xl/worksheets/sheet13.xml><?xml version="1.0" encoding="utf-8"?>
<worksheet xmlns="http://schemas.openxmlformats.org/spreadsheetml/2006/main" xmlns:r="http://schemas.openxmlformats.org/officeDocument/2006/relationships">
  <sheetPr>
    <tabColor rgb="FFFF0000"/>
  </sheetPr>
  <dimension ref="A1:M19"/>
  <sheetViews>
    <sheetView tabSelected="1" view="pageBreakPreview" zoomScale="75" zoomScaleNormal="75" zoomScaleSheetLayoutView="75" workbookViewId="0" topLeftCell="A1">
      <selection activeCell="F22" sqref="F22"/>
    </sheetView>
  </sheetViews>
  <sheetFormatPr defaultColWidth="9.00390625" defaultRowHeight="12.75"/>
  <cols>
    <col min="1" max="1" width="16.125" style="4" customWidth="1"/>
    <col min="2" max="2" width="14.375" style="17" customWidth="1"/>
    <col min="3" max="3" width="14.75390625" style="8" customWidth="1"/>
    <col min="4" max="4" width="47.125" style="59" customWidth="1"/>
    <col min="5" max="5" width="1.875" style="59" hidden="1" customWidth="1"/>
    <col min="6" max="6" width="61.25390625" style="17" customWidth="1"/>
    <col min="7" max="7" width="14.375" style="17" customWidth="1"/>
    <col min="8" max="8" width="23.25390625" style="17" customWidth="1"/>
    <col min="9" max="11" width="22.875" style="17" customWidth="1"/>
    <col min="12" max="12" width="15.125" style="4" bestFit="1" customWidth="1"/>
    <col min="13" max="13" width="20.125" style="4" customWidth="1"/>
    <col min="14" max="16384" width="9.125" style="4" customWidth="1"/>
  </cols>
  <sheetData>
    <row r="1" spans="9:10" ht="18.75">
      <c r="I1" s="161" t="s">
        <v>516</v>
      </c>
      <c r="J1" s="161"/>
    </row>
    <row r="2" spans="9:10" ht="18.75">
      <c r="I2" s="162" t="s">
        <v>517</v>
      </c>
      <c r="J2" s="162"/>
    </row>
    <row r="3" spans="8:10" ht="18.75">
      <c r="H3" s="17" t="s">
        <v>516</v>
      </c>
      <c r="I3" s="161" t="s">
        <v>516</v>
      </c>
      <c r="J3" s="161"/>
    </row>
    <row r="4" spans="8:10" ht="18.75">
      <c r="H4" s="17" t="s">
        <v>519</v>
      </c>
      <c r="I4" s="164"/>
      <c r="J4" s="164"/>
    </row>
    <row r="5" spans="8:10" ht="18.75">
      <c r="H5" s="17" t="s">
        <v>520</v>
      </c>
      <c r="I5" s="164"/>
      <c r="J5" s="164"/>
    </row>
    <row r="6" spans="2:11" s="128" customFormat="1" ht="18.75">
      <c r="B6" s="129"/>
      <c r="C6" s="130"/>
      <c r="D6" s="131"/>
      <c r="E6" s="131"/>
      <c r="F6" s="129"/>
      <c r="G6" s="129"/>
      <c r="H6" s="129"/>
      <c r="I6" s="163" t="s">
        <v>518</v>
      </c>
      <c r="J6" s="163"/>
      <c r="K6" s="129"/>
    </row>
    <row r="7" spans="1:11" ht="54" customHeight="1">
      <c r="A7" s="157" t="s">
        <v>509</v>
      </c>
      <c r="B7" s="157"/>
      <c r="C7" s="157"/>
      <c r="D7" s="157"/>
      <c r="E7" s="157"/>
      <c r="F7" s="157"/>
      <c r="G7" s="157"/>
      <c r="H7" s="157"/>
      <c r="I7" s="157"/>
      <c r="J7" s="157"/>
      <c r="K7" s="157"/>
    </row>
    <row r="8" spans="1:11" ht="21" customHeight="1">
      <c r="A8" s="158">
        <v>14502000000</v>
      </c>
      <c r="B8" s="158"/>
      <c r="C8" s="133"/>
      <c r="D8" s="133"/>
      <c r="E8" s="133"/>
      <c r="F8" s="133"/>
      <c r="G8" s="133"/>
      <c r="H8" s="133"/>
      <c r="I8" s="133"/>
      <c r="J8" s="133"/>
      <c r="K8" s="133"/>
    </row>
    <row r="9" spans="1:11" ht="18" customHeight="1">
      <c r="A9" s="159" t="s">
        <v>503</v>
      </c>
      <c r="B9" s="159"/>
      <c r="C9" s="133"/>
      <c r="D9" s="133"/>
      <c r="E9" s="133"/>
      <c r="F9" s="133"/>
      <c r="G9" s="133"/>
      <c r="H9" s="133"/>
      <c r="I9" s="133"/>
      <c r="J9" s="133"/>
      <c r="K9" s="133"/>
    </row>
    <row r="10" spans="1:11" s="132" customFormat="1" ht="144" customHeight="1">
      <c r="A10" s="45" t="s">
        <v>504</v>
      </c>
      <c r="B10" s="45" t="s">
        <v>501</v>
      </c>
      <c r="C10" s="139" t="s">
        <v>508</v>
      </c>
      <c r="D10" s="45" t="s">
        <v>505</v>
      </c>
      <c r="E10" s="141"/>
      <c r="F10" s="140" t="s">
        <v>510</v>
      </c>
      <c r="G10" s="45" t="s">
        <v>511</v>
      </c>
      <c r="H10" s="45" t="s">
        <v>512</v>
      </c>
      <c r="I10" s="45" t="s">
        <v>513</v>
      </c>
      <c r="J10" s="45" t="s">
        <v>514</v>
      </c>
      <c r="K10" s="45" t="s">
        <v>515</v>
      </c>
    </row>
    <row r="11" spans="1:11" ht="15" customHeight="1">
      <c r="A11" s="12">
        <v>1</v>
      </c>
      <c r="B11" s="12">
        <v>2</v>
      </c>
      <c r="C11" s="135">
        <v>3</v>
      </c>
      <c r="D11" s="3">
        <v>4</v>
      </c>
      <c r="E11" s="137"/>
      <c r="F11" s="136">
        <v>5</v>
      </c>
      <c r="G11" s="12">
        <v>6</v>
      </c>
      <c r="H11" s="12">
        <v>7</v>
      </c>
      <c r="I11" s="12">
        <v>8</v>
      </c>
      <c r="J11" s="12">
        <v>9</v>
      </c>
      <c r="K11" s="12">
        <v>10</v>
      </c>
    </row>
    <row r="12" spans="1:11" ht="15" customHeight="1">
      <c r="A12" s="12"/>
      <c r="B12" s="12"/>
      <c r="C12" s="135"/>
      <c r="D12" s="3"/>
      <c r="E12" s="137"/>
      <c r="F12" s="136"/>
      <c r="G12" s="12"/>
      <c r="H12" s="12"/>
      <c r="I12" s="12"/>
      <c r="J12" s="12"/>
      <c r="K12" s="12"/>
    </row>
    <row r="13" spans="1:13" s="134" customFormat="1" ht="18.75">
      <c r="A13" s="144"/>
      <c r="B13" s="144"/>
      <c r="C13" s="144"/>
      <c r="D13" s="145" t="s">
        <v>502</v>
      </c>
      <c r="E13" s="145"/>
      <c r="F13" s="144"/>
      <c r="G13" s="144"/>
      <c r="H13" s="146"/>
      <c r="I13" s="146"/>
      <c r="J13" s="146"/>
      <c r="K13" s="146"/>
      <c r="M13" s="143"/>
    </row>
    <row r="14" spans="1:11" s="52" customFormat="1" ht="12" customHeight="1">
      <c r="A14" s="77"/>
      <c r="B14" s="156"/>
      <c r="C14" s="156"/>
      <c r="D14" s="156"/>
      <c r="E14" s="80"/>
      <c r="F14" s="80"/>
      <c r="G14" s="80"/>
      <c r="H14" s="80"/>
      <c r="I14" s="80"/>
      <c r="J14" s="80"/>
      <c r="K14" s="80"/>
    </row>
    <row r="15" spans="1:11" ht="36" customHeight="1">
      <c r="A15" s="160" t="s">
        <v>506</v>
      </c>
      <c r="B15" s="160"/>
      <c r="C15" s="160"/>
      <c r="D15" s="160"/>
      <c r="H15" s="142" t="s">
        <v>507</v>
      </c>
      <c r="I15" s="138"/>
      <c r="J15" s="138"/>
      <c r="K15" s="138"/>
    </row>
    <row r="16" spans="8:11" ht="15" customHeight="1">
      <c r="H16" s="138"/>
      <c r="I16" s="138"/>
      <c r="J16" s="138"/>
      <c r="K16" s="138"/>
    </row>
    <row r="17" ht="15">
      <c r="K17" s="147"/>
    </row>
    <row r="18" ht="15">
      <c r="K18" s="147"/>
    </row>
    <row r="19" ht="15">
      <c r="K19" s="147">
        <f>I13+J13</f>
        <v>0</v>
      </c>
    </row>
  </sheetData>
  <sheetProtection/>
  <mergeCells count="9">
    <mergeCell ref="B14:D14"/>
    <mergeCell ref="A7:K7"/>
    <mergeCell ref="A8:B8"/>
    <mergeCell ref="A9:B9"/>
    <mergeCell ref="A15:D15"/>
    <mergeCell ref="I1:J1"/>
    <mergeCell ref="I2:J2"/>
    <mergeCell ref="I6:J6"/>
    <mergeCell ref="I3:J3"/>
  </mergeCells>
  <printOptions/>
  <pageMargins left="0.4724409448818898" right="0.1968503937007874" top="0.7086614173228347" bottom="0.2362204724409449" header="0.35433070866141736" footer="0.15748031496062992"/>
  <pageSetup horizontalDpi="600" verticalDpi="600" orientation="landscape" paperSize="9" scale="44" r:id="rId1"/>
  <headerFooter differentFirst="1" alignWithMargins="0">
    <oddHeader>&amp;RПродовження додатка 6
до рішення міської ради</oddHeader>
    <oddFooter>&amp;C&amp;P</oddFooter>
  </headerFooter>
</worksheet>
</file>

<file path=xl/worksheets/sheet14.xml><?xml version="1.0" encoding="utf-8"?>
<worksheet xmlns="http://schemas.openxmlformats.org/spreadsheetml/2006/main" xmlns:r="http://schemas.openxmlformats.org/officeDocument/2006/relationships">
  <sheetPr>
    <tabColor rgb="FF7030A0"/>
  </sheetPr>
  <dimension ref="A1:S27"/>
  <sheetViews>
    <sheetView zoomScaleSheetLayoutView="55" zoomScalePageLayoutView="0" workbookViewId="0" topLeftCell="E1">
      <selection activeCell="J3" sqref="J3"/>
    </sheetView>
  </sheetViews>
  <sheetFormatPr defaultColWidth="9.00390625" defaultRowHeight="12.75"/>
  <cols>
    <col min="1" max="1" width="12.875" style="4" customWidth="1"/>
    <col min="2" max="2" width="12.875" style="17" bestFit="1" customWidth="1"/>
    <col min="3" max="3" width="15.875" style="8" customWidth="1"/>
    <col min="4" max="4" width="25.125" style="59" customWidth="1"/>
    <col min="5" max="5" width="31.00390625" style="17" customWidth="1"/>
    <col min="6" max="6" width="12.375" style="17" customWidth="1"/>
    <col min="7" max="7" width="14.625" style="17" customWidth="1"/>
    <col min="8" max="8" width="11.625" style="17" bestFit="1" customWidth="1"/>
    <col min="9" max="9" width="12.00390625" style="4" customWidth="1"/>
    <col min="10" max="10" width="13.625" style="4" customWidth="1"/>
    <col min="11" max="11" width="13.125" style="4" customWidth="1"/>
    <col min="12" max="12" width="17.125" style="4" customWidth="1"/>
    <col min="13" max="13" width="0.12890625" style="4" customWidth="1"/>
    <col min="14" max="14" width="15.375" style="4" hidden="1" customWidth="1"/>
    <col min="15" max="15" width="13.375" style="44" hidden="1" customWidth="1"/>
    <col min="16" max="16" width="2.375" style="44" hidden="1" customWidth="1"/>
    <col min="17" max="17" width="13.125" style="44" hidden="1" customWidth="1"/>
    <col min="18" max="18" width="9.00390625" style="44" hidden="1" customWidth="1"/>
    <col min="19" max="19" width="79.375" style="14" customWidth="1"/>
    <col min="20" max="20" width="136.875" style="4" customWidth="1"/>
    <col min="21" max="16384" width="9.125" style="4" customWidth="1"/>
  </cols>
  <sheetData>
    <row r="1" spans="1:19" ht="53.25" customHeight="1">
      <c r="A1" s="148" t="s">
        <v>485</v>
      </c>
      <c r="B1" s="148"/>
      <c r="C1" s="148"/>
      <c r="D1" s="148"/>
      <c r="E1" s="148"/>
      <c r="F1" s="148"/>
      <c r="G1" s="148"/>
      <c r="H1" s="148"/>
      <c r="I1" s="148"/>
      <c r="J1" s="148"/>
      <c r="K1" s="148"/>
      <c r="L1" s="148"/>
      <c r="M1" s="148"/>
      <c r="N1" s="148"/>
      <c r="O1" s="148"/>
      <c r="P1" s="148"/>
      <c r="Q1" s="148"/>
      <c r="R1" s="148"/>
      <c r="S1" s="148"/>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21" t="s">
        <v>12</v>
      </c>
      <c r="B3" s="121" t="s">
        <v>254</v>
      </c>
      <c r="C3" s="121" t="s">
        <v>256</v>
      </c>
      <c r="D3" s="121" t="s">
        <v>269</v>
      </c>
      <c r="E3" s="121" t="s">
        <v>258</v>
      </c>
      <c r="F3" s="121" t="s">
        <v>259</v>
      </c>
      <c r="G3" s="121" t="s">
        <v>257</v>
      </c>
      <c r="H3" s="121" t="s">
        <v>250</v>
      </c>
      <c r="I3" s="121" t="s">
        <v>11</v>
      </c>
      <c r="J3" s="121" t="s">
        <v>251</v>
      </c>
      <c r="K3" s="121" t="s">
        <v>16</v>
      </c>
      <c r="L3" s="122" t="s">
        <v>241</v>
      </c>
      <c r="M3" s="123"/>
      <c r="N3" s="124" t="s">
        <v>252</v>
      </c>
      <c r="O3" s="125" t="s">
        <v>242</v>
      </c>
      <c r="P3" s="126"/>
      <c r="Q3" s="125" t="s">
        <v>253</v>
      </c>
      <c r="R3" s="126"/>
      <c r="S3" s="121" t="s">
        <v>255</v>
      </c>
    </row>
    <row r="4" spans="1:19" s="54" customFormat="1" ht="174" customHeight="1">
      <c r="A4" s="118" t="s">
        <v>492</v>
      </c>
      <c r="B4" s="118" t="s">
        <v>486</v>
      </c>
      <c r="C4" s="118" t="s">
        <v>493</v>
      </c>
      <c r="D4" s="118" t="s">
        <v>494</v>
      </c>
      <c r="E4" s="118" t="s">
        <v>487</v>
      </c>
      <c r="F4" s="118" t="s">
        <v>488</v>
      </c>
      <c r="G4" s="118" t="s">
        <v>490</v>
      </c>
      <c r="H4" s="118" t="s">
        <v>489</v>
      </c>
      <c r="I4" s="118" t="s">
        <v>491</v>
      </c>
      <c r="J4" s="75" t="s">
        <v>498</v>
      </c>
      <c r="K4" s="75" t="s">
        <v>499</v>
      </c>
      <c r="L4" s="120"/>
      <c r="M4" s="60"/>
      <c r="N4" s="53"/>
      <c r="O4" s="75" t="s">
        <v>273</v>
      </c>
      <c r="P4" s="76" t="s">
        <v>274</v>
      </c>
      <c r="Q4" s="75" t="s">
        <v>273</v>
      </c>
      <c r="R4" s="76" t="s">
        <v>274</v>
      </c>
      <c r="S4" s="119"/>
    </row>
    <row r="5" spans="1:19" ht="15" customHeight="1">
      <c r="A5" s="3">
        <v>1</v>
      </c>
      <c r="B5" s="3">
        <v>2</v>
      </c>
      <c r="C5" s="3">
        <v>3</v>
      </c>
      <c r="D5" s="3">
        <v>4</v>
      </c>
      <c r="E5" s="3">
        <v>5</v>
      </c>
      <c r="F5" s="3">
        <v>6</v>
      </c>
      <c r="G5" s="3">
        <v>7</v>
      </c>
      <c r="H5" s="3">
        <v>8</v>
      </c>
      <c r="I5" s="3">
        <v>9</v>
      </c>
      <c r="J5" s="3">
        <v>10</v>
      </c>
      <c r="K5" s="3">
        <v>11</v>
      </c>
      <c r="L5" s="3">
        <v>7</v>
      </c>
      <c r="M5" s="3">
        <v>8</v>
      </c>
      <c r="N5" s="3"/>
      <c r="O5" s="43"/>
      <c r="P5" s="43"/>
      <c r="Q5" s="43"/>
      <c r="R5" s="43"/>
      <c r="S5" s="3">
        <v>9</v>
      </c>
    </row>
    <row r="6" spans="1:19" ht="63">
      <c r="A6" s="127" t="s">
        <v>496</v>
      </c>
      <c r="B6" s="127" t="s">
        <v>497</v>
      </c>
      <c r="C6" s="127" t="s">
        <v>495</v>
      </c>
      <c r="D6" s="117" t="s">
        <v>500</v>
      </c>
      <c r="E6" s="117"/>
      <c r="F6" s="117"/>
      <c r="G6" s="117"/>
      <c r="H6" s="117"/>
      <c r="I6" s="117"/>
      <c r="J6" s="117"/>
      <c r="K6" s="117"/>
      <c r="L6" s="117"/>
      <c r="M6" s="117"/>
      <c r="N6" s="117"/>
      <c r="O6" s="64"/>
      <c r="P6" s="64"/>
      <c r="Q6" s="64"/>
      <c r="R6" s="64"/>
      <c r="S6" s="117"/>
    </row>
    <row r="7" spans="1:19" ht="15" customHeight="1">
      <c r="A7" s="127"/>
      <c r="B7" s="127"/>
      <c r="C7" s="127"/>
      <c r="D7" s="117"/>
      <c r="E7" s="117"/>
      <c r="F7" s="117"/>
      <c r="G7" s="117"/>
      <c r="H7" s="117"/>
      <c r="I7" s="117"/>
      <c r="J7" s="117"/>
      <c r="K7" s="117"/>
      <c r="L7" s="117"/>
      <c r="M7" s="117"/>
      <c r="N7" s="117"/>
      <c r="O7" s="64"/>
      <c r="P7" s="64"/>
      <c r="Q7" s="64"/>
      <c r="R7" s="64"/>
      <c r="S7" s="117"/>
    </row>
    <row r="8" spans="1:19" ht="15" customHeight="1">
      <c r="A8" s="127"/>
      <c r="B8" s="127"/>
      <c r="C8" s="127"/>
      <c r="D8" s="117"/>
      <c r="E8" s="117"/>
      <c r="F8" s="117"/>
      <c r="G8" s="117"/>
      <c r="H8" s="117"/>
      <c r="I8" s="117"/>
      <c r="J8" s="117"/>
      <c r="K8" s="117"/>
      <c r="L8" s="117"/>
      <c r="M8" s="117"/>
      <c r="N8" s="117"/>
      <c r="O8" s="64"/>
      <c r="P8" s="64"/>
      <c r="Q8" s="64"/>
      <c r="R8" s="64"/>
      <c r="S8" s="117"/>
    </row>
    <row r="9" spans="1:19" ht="15" customHeight="1">
      <c r="A9" s="127"/>
      <c r="B9" s="127"/>
      <c r="C9" s="127"/>
      <c r="D9" s="117"/>
      <c r="E9" s="117"/>
      <c r="F9" s="117"/>
      <c r="G9" s="117"/>
      <c r="H9" s="117"/>
      <c r="I9" s="117"/>
      <c r="J9" s="117"/>
      <c r="K9" s="117"/>
      <c r="L9" s="117"/>
      <c r="M9" s="117"/>
      <c r="N9" s="117"/>
      <c r="O9" s="64"/>
      <c r="P9" s="64"/>
      <c r="Q9" s="64"/>
      <c r="R9" s="64"/>
      <c r="S9" s="117"/>
    </row>
    <row r="10" spans="1:19" ht="15" customHeight="1">
      <c r="A10" s="127"/>
      <c r="B10" s="127"/>
      <c r="C10" s="127"/>
      <c r="D10" s="117"/>
      <c r="E10" s="117"/>
      <c r="F10" s="117"/>
      <c r="G10" s="117"/>
      <c r="H10" s="117"/>
      <c r="I10" s="117"/>
      <c r="J10" s="117"/>
      <c r="K10" s="117"/>
      <c r="L10" s="117"/>
      <c r="M10" s="117"/>
      <c r="N10" s="117"/>
      <c r="O10" s="64"/>
      <c r="P10" s="64"/>
      <c r="Q10" s="64"/>
      <c r="R10" s="64"/>
      <c r="S10" s="117"/>
    </row>
    <row r="11" spans="1:19" ht="15" customHeight="1">
      <c r="A11" s="127"/>
      <c r="B11" s="127"/>
      <c r="C11" s="127"/>
      <c r="D11" s="117"/>
      <c r="E11" s="117"/>
      <c r="F11" s="117"/>
      <c r="G11" s="117"/>
      <c r="H11" s="117"/>
      <c r="I11" s="117"/>
      <c r="J11" s="117"/>
      <c r="K11" s="117"/>
      <c r="L11" s="117"/>
      <c r="M11" s="117"/>
      <c r="N11" s="117"/>
      <c r="O11" s="64"/>
      <c r="P11" s="64"/>
      <c r="Q11" s="64"/>
      <c r="R11" s="64"/>
      <c r="S11" s="117"/>
    </row>
    <row r="12" spans="1:19" ht="15" customHeight="1">
      <c r="A12" s="127"/>
      <c r="B12" s="127"/>
      <c r="C12" s="127"/>
      <c r="D12" s="117"/>
      <c r="E12" s="117"/>
      <c r="F12" s="117"/>
      <c r="G12" s="117"/>
      <c r="H12" s="117"/>
      <c r="I12" s="117"/>
      <c r="J12" s="117"/>
      <c r="K12" s="117"/>
      <c r="L12" s="117"/>
      <c r="M12" s="117"/>
      <c r="N12" s="117"/>
      <c r="O12" s="64"/>
      <c r="P12" s="64"/>
      <c r="Q12" s="64"/>
      <c r="R12" s="64"/>
      <c r="S12" s="117"/>
    </row>
    <row r="13" spans="1:19" ht="15" customHeight="1">
      <c r="A13" s="127"/>
      <c r="B13" s="127"/>
      <c r="C13" s="127"/>
      <c r="D13" s="117"/>
      <c r="E13" s="117"/>
      <c r="F13" s="117"/>
      <c r="G13" s="117"/>
      <c r="H13" s="117"/>
      <c r="I13" s="117"/>
      <c r="J13" s="117"/>
      <c r="K13" s="117"/>
      <c r="L13" s="117"/>
      <c r="M13" s="117"/>
      <c r="N13" s="117"/>
      <c r="O13" s="64"/>
      <c r="P13" s="64"/>
      <c r="Q13" s="64"/>
      <c r="R13" s="64"/>
      <c r="S13" s="117"/>
    </row>
    <row r="14" spans="1:19" ht="15" customHeight="1">
      <c r="A14" s="127"/>
      <c r="B14" s="127"/>
      <c r="C14" s="127"/>
      <c r="D14" s="117"/>
      <c r="E14" s="117"/>
      <c r="F14" s="117"/>
      <c r="G14" s="117"/>
      <c r="H14" s="117"/>
      <c r="I14" s="117"/>
      <c r="J14" s="117"/>
      <c r="K14" s="117"/>
      <c r="L14" s="117"/>
      <c r="M14" s="117"/>
      <c r="N14" s="117"/>
      <c r="O14" s="64"/>
      <c r="P14" s="64"/>
      <c r="Q14" s="64"/>
      <c r="R14" s="64"/>
      <c r="S14" s="117"/>
    </row>
    <row r="15" spans="1:19" ht="15" customHeight="1">
      <c r="A15" s="127"/>
      <c r="B15" s="127"/>
      <c r="C15" s="127"/>
      <c r="D15" s="117"/>
      <c r="E15" s="117"/>
      <c r="F15" s="117"/>
      <c r="G15" s="117"/>
      <c r="H15" s="117"/>
      <c r="I15" s="117"/>
      <c r="J15" s="117"/>
      <c r="K15" s="117"/>
      <c r="L15" s="117"/>
      <c r="M15" s="117"/>
      <c r="N15" s="117"/>
      <c r="O15" s="64"/>
      <c r="P15" s="64"/>
      <c r="Q15" s="64"/>
      <c r="R15" s="64"/>
      <c r="S15" s="117"/>
    </row>
    <row r="16" spans="1:19" s="52" customFormat="1" ht="267.75">
      <c r="A16" s="61">
        <v>1</v>
      </c>
      <c r="B16" s="43" t="s">
        <v>483</v>
      </c>
      <c r="C16" s="6" t="s">
        <v>477</v>
      </c>
      <c r="D16" s="64"/>
      <c r="E16" s="64"/>
      <c r="F16" s="64"/>
      <c r="G16" s="64"/>
      <c r="H16" s="55"/>
      <c r="I16" s="28">
        <v>23900</v>
      </c>
      <c r="J16" s="28">
        <v>12010.825</v>
      </c>
      <c r="K16" s="9">
        <f aca="true" t="shared" si="0" ref="K16:K21">100-(J16/I16*100)</f>
        <v>49.74550209205021</v>
      </c>
      <c r="L16" s="23">
        <v>3922.796</v>
      </c>
      <c r="M16" s="23"/>
      <c r="N16" s="23"/>
      <c r="O16" s="23"/>
      <c r="P16" s="23"/>
      <c r="Q16" s="23"/>
      <c r="R16" s="23"/>
      <c r="S16" s="150" t="s">
        <v>255</v>
      </c>
    </row>
    <row r="17" spans="1:19" s="52" customFormat="1" ht="220.5">
      <c r="A17" s="61">
        <v>2</v>
      </c>
      <c r="B17" s="43" t="s">
        <v>484</v>
      </c>
      <c r="C17" s="6" t="s">
        <v>478</v>
      </c>
      <c r="D17" s="64"/>
      <c r="E17" s="64"/>
      <c r="F17" s="64"/>
      <c r="G17" s="64"/>
      <c r="H17" s="55"/>
      <c r="I17" s="28">
        <v>8536.548</v>
      </c>
      <c r="J17" s="28">
        <v>6683.534</v>
      </c>
      <c r="K17" s="9">
        <f t="shared" si="0"/>
        <v>21.706830442469254</v>
      </c>
      <c r="L17" s="23">
        <v>6683.534</v>
      </c>
      <c r="M17" s="23"/>
      <c r="N17" s="23"/>
      <c r="O17" s="23"/>
      <c r="P17" s="23"/>
      <c r="Q17" s="23"/>
      <c r="R17" s="23"/>
      <c r="S17" s="151"/>
    </row>
    <row r="18" spans="1:19" s="52" customFormat="1" ht="267.75">
      <c r="A18" s="61">
        <v>3</v>
      </c>
      <c r="B18" s="43" t="s">
        <v>484</v>
      </c>
      <c r="C18" s="6" t="s">
        <v>479</v>
      </c>
      <c r="D18" s="64"/>
      <c r="E18" s="64"/>
      <c r="F18" s="64"/>
      <c r="G18" s="64"/>
      <c r="H18" s="55"/>
      <c r="I18" s="28">
        <v>10187.289</v>
      </c>
      <c r="J18" s="28">
        <v>6980.272</v>
      </c>
      <c r="K18" s="9">
        <f t="shared" si="0"/>
        <v>31.480573487215295</v>
      </c>
      <c r="L18" s="23">
        <v>500</v>
      </c>
      <c r="M18" s="23"/>
      <c r="N18" s="23"/>
      <c r="O18" s="23"/>
      <c r="P18" s="23"/>
      <c r="Q18" s="23"/>
      <c r="R18" s="23"/>
      <c r="S18" s="25"/>
    </row>
    <row r="19" spans="1:19" s="52" customFormat="1" ht="330.75">
      <c r="A19" s="61">
        <v>4</v>
      </c>
      <c r="B19" s="43" t="s">
        <v>484</v>
      </c>
      <c r="C19" s="6" t="s">
        <v>480</v>
      </c>
      <c r="D19" s="64"/>
      <c r="E19" s="64"/>
      <c r="F19" s="64"/>
      <c r="G19" s="64"/>
      <c r="H19" s="55"/>
      <c r="I19" s="28">
        <v>3792.739</v>
      </c>
      <c r="J19" s="28">
        <v>3392.765</v>
      </c>
      <c r="K19" s="9">
        <f t="shared" si="0"/>
        <v>10.545782348851318</v>
      </c>
      <c r="L19" s="23">
        <v>250</v>
      </c>
      <c r="M19" s="23"/>
      <c r="N19" s="23"/>
      <c r="O19" s="23"/>
      <c r="P19" s="23"/>
      <c r="Q19" s="23"/>
      <c r="R19" s="23"/>
      <c r="S19" s="25"/>
    </row>
    <row r="20" spans="1:19" s="52" customFormat="1" ht="173.25">
      <c r="A20" s="61">
        <v>5</v>
      </c>
      <c r="B20" s="43" t="s">
        <v>484</v>
      </c>
      <c r="C20" s="6" t="s">
        <v>481</v>
      </c>
      <c r="D20" s="64"/>
      <c r="E20" s="64"/>
      <c r="F20" s="64"/>
      <c r="G20" s="64"/>
      <c r="H20" s="55"/>
      <c r="I20" s="28">
        <v>6800</v>
      </c>
      <c r="J20" s="28">
        <v>6800</v>
      </c>
      <c r="K20" s="9">
        <f t="shared" si="0"/>
        <v>0</v>
      </c>
      <c r="L20" s="23">
        <v>4000</v>
      </c>
      <c r="M20" s="23"/>
      <c r="N20" s="23"/>
      <c r="O20" s="23"/>
      <c r="P20" s="23"/>
      <c r="Q20" s="23"/>
      <c r="R20" s="23"/>
      <c r="S20" s="25"/>
    </row>
    <row r="21" spans="1:19" s="52" customFormat="1" ht="283.5">
      <c r="A21" s="61">
        <v>6</v>
      </c>
      <c r="B21" s="43" t="s">
        <v>483</v>
      </c>
      <c r="C21" s="6" t="s">
        <v>482</v>
      </c>
      <c r="D21" s="64"/>
      <c r="E21" s="64"/>
      <c r="F21" s="64"/>
      <c r="G21" s="64"/>
      <c r="H21" s="55"/>
      <c r="I21" s="28">
        <v>12800</v>
      </c>
      <c r="J21" s="28">
        <v>8463.67</v>
      </c>
      <c r="K21" s="9">
        <f t="shared" si="0"/>
        <v>33.877578125</v>
      </c>
      <c r="L21" s="23">
        <v>3083.67</v>
      </c>
      <c r="M21" s="23"/>
      <c r="N21" s="23"/>
      <c r="O21" s="23"/>
      <c r="P21" s="23"/>
      <c r="Q21" s="23"/>
      <c r="R21" s="23"/>
      <c r="S21" s="25"/>
    </row>
    <row r="22" spans="1:19" s="52" customFormat="1" ht="15.75">
      <c r="A22" s="77"/>
      <c r="B22" s="78"/>
      <c r="C22" s="79"/>
      <c r="D22" s="80"/>
      <c r="E22" s="80"/>
      <c r="F22" s="80"/>
      <c r="G22" s="80"/>
      <c r="H22" s="81"/>
      <c r="I22" s="94"/>
      <c r="J22" s="94"/>
      <c r="K22" s="82"/>
      <c r="L22" s="83"/>
      <c r="M22" s="83"/>
      <c r="N22" s="83"/>
      <c r="O22" s="83"/>
      <c r="P22" s="83"/>
      <c r="Q22" s="83"/>
      <c r="R22" s="83"/>
      <c r="S22" s="79"/>
    </row>
    <row r="23" spans="1:19" s="52" customFormat="1" ht="15.75">
      <c r="A23" s="77"/>
      <c r="B23" s="78"/>
      <c r="C23" s="79"/>
      <c r="D23" s="80"/>
      <c r="E23" s="80"/>
      <c r="F23" s="80"/>
      <c r="G23" s="80"/>
      <c r="H23" s="81"/>
      <c r="I23" s="94"/>
      <c r="J23" s="94"/>
      <c r="K23" s="82"/>
      <c r="L23" s="83"/>
      <c r="M23" s="83"/>
      <c r="N23" s="83"/>
      <c r="O23" s="83"/>
      <c r="P23" s="83"/>
      <c r="Q23" s="83"/>
      <c r="R23" s="83"/>
      <c r="S23" s="79"/>
    </row>
    <row r="24" spans="1:19" s="52" customFormat="1" ht="15.75">
      <c r="A24" s="77"/>
      <c r="B24" s="78"/>
      <c r="C24" s="79"/>
      <c r="D24" s="80"/>
      <c r="E24" s="80"/>
      <c r="F24" s="80"/>
      <c r="G24" s="80"/>
      <c r="H24" s="81"/>
      <c r="I24" s="94"/>
      <c r="J24" s="94"/>
      <c r="K24" s="82"/>
      <c r="L24" s="83"/>
      <c r="M24" s="83"/>
      <c r="N24" s="83"/>
      <c r="O24" s="83"/>
      <c r="P24" s="83"/>
      <c r="Q24" s="83"/>
      <c r="R24" s="83"/>
      <c r="S24" s="79"/>
    </row>
    <row r="25" spans="2:19" ht="40.5" customHeight="1">
      <c r="B25" s="149" t="s">
        <v>476</v>
      </c>
      <c r="C25" s="149"/>
      <c r="D25" s="149"/>
      <c r="E25" s="149"/>
      <c r="F25" s="149"/>
      <c r="G25" s="149"/>
      <c r="H25" s="149"/>
      <c r="I25" s="149"/>
      <c r="J25" s="149"/>
      <c r="S25" s="18" t="s">
        <v>382</v>
      </c>
    </row>
    <row r="26" ht="15.75">
      <c r="S26" s="18"/>
    </row>
    <row r="27" spans="1:8" ht="15.75">
      <c r="A27" s="18"/>
      <c r="C27" s="19"/>
      <c r="D27" s="57"/>
      <c r="E27" s="57"/>
      <c r="F27" s="57"/>
      <c r="G27" s="57"/>
      <c r="H27" s="57"/>
    </row>
  </sheetData>
  <sheetProtection/>
  <mergeCells count="3">
    <mergeCell ref="S16:S17"/>
    <mergeCell ref="A1:S1"/>
    <mergeCell ref="B25:J25"/>
  </mergeCells>
  <printOptions/>
  <pageMargins left="0.49" right="0.1968503937007874" top="0.56" bottom="0.2362204724409449" header="0.2755905511811024" footer="0.15748031496062992"/>
  <pageSetup horizontalDpi="600" verticalDpi="600" orientation="landscape" paperSize="9" scale="59" r:id="rId1"/>
  <rowBreaks count="1" manualBreakCount="1">
    <brk id="25" max="9" man="1"/>
  </rowBreaks>
</worksheet>
</file>

<file path=xl/worksheets/sheet15.xml><?xml version="1.0" encoding="utf-8"?>
<worksheet xmlns="http://schemas.openxmlformats.org/spreadsheetml/2006/main" xmlns:r="http://schemas.openxmlformats.org/officeDocument/2006/relationships">
  <sheetPr>
    <tabColor rgb="FF92D050"/>
  </sheetPr>
  <dimension ref="A1:T15"/>
  <sheetViews>
    <sheetView view="pageBreakPreview" zoomScale="55" zoomScaleNormal="70" zoomScaleSheetLayoutView="55" zoomScalePageLayoutView="0" workbookViewId="0" topLeftCell="A3">
      <pane xSplit="3" ySplit="3" topLeftCell="D12" activePane="bottomRight" state="frozen"/>
      <selection pane="topLeft" activeCell="A3" sqref="A3"/>
      <selection pane="topRight" activeCell="D3" sqref="D3"/>
      <selection pane="bottomLeft" activeCell="A5" sqref="A5"/>
      <selection pane="bottomRight" activeCell="B13" sqref="B13:J13"/>
    </sheetView>
  </sheetViews>
  <sheetFormatPr defaultColWidth="9.00390625" defaultRowHeight="12.75"/>
  <cols>
    <col min="1" max="1" width="4.875" style="4" customWidth="1"/>
    <col min="2" max="2" width="9.375" style="17" customWidth="1"/>
    <col min="3" max="3" width="43.625" style="8" customWidth="1"/>
    <col min="4" max="4" width="9.875" style="59" bestFit="1" customWidth="1"/>
    <col min="5" max="5" width="12.125" style="17" customWidth="1"/>
    <col min="6" max="6" width="11.00390625" style="17" customWidth="1"/>
    <col min="7" max="7" width="10.375" style="17" hidden="1" customWidth="1"/>
    <col min="8" max="8" width="7.875" style="17" hidden="1" customWidth="1"/>
    <col min="9" max="10" width="14.875" style="4" customWidth="1"/>
    <col min="11" max="11" width="8.875" style="4" customWidth="1"/>
    <col min="12" max="12" width="14.375" style="4" customWidth="1"/>
    <col min="13" max="13" width="12.625" style="4" hidden="1" customWidth="1"/>
    <col min="14" max="14" width="15.125" style="4" hidden="1" customWidth="1"/>
    <col min="15" max="15" width="13.875" style="44" customWidth="1"/>
    <col min="16" max="16" width="10.625" style="44" hidden="1" customWidth="1"/>
    <col min="17" max="17" width="13.875" style="44" customWidth="1"/>
    <col min="18" max="18" width="9.00390625" style="44" hidden="1" customWidth="1"/>
    <col min="19" max="19" width="61.375" style="4" customWidth="1"/>
    <col min="20" max="20" width="136.875" style="4" customWidth="1"/>
    <col min="21" max="16384" width="9.125" style="4" customWidth="1"/>
  </cols>
  <sheetData>
    <row r="1" spans="1:19" ht="53.25" customHeight="1">
      <c r="A1" s="148" t="s">
        <v>260</v>
      </c>
      <c r="B1" s="148"/>
      <c r="C1" s="148"/>
      <c r="D1" s="148"/>
      <c r="E1" s="148"/>
      <c r="F1" s="148"/>
      <c r="G1" s="148"/>
      <c r="H1" s="148"/>
      <c r="I1" s="148"/>
      <c r="J1" s="148"/>
      <c r="K1" s="148"/>
      <c r="L1" s="148"/>
      <c r="M1" s="148"/>
      <c r="N1" s="148"/>
      <c r="O1" s="148"/>
      <c r="P1" s="148"/>
      <c r="Q1" s="148"/>
      <c r="R1" s="148"/>
      <c r="S1" s="148"/>
    </row>
    <row r="2" spans="1:19" ht="16.5" customHeight="1" thickBot="1">
      <c r="A2" s="2"/>
      <c r="B2" s="16"/>
      <c r="C2" s="5"/>
      <c r="D2" s="58"/>
      <c r="E2" s="16"/>
      <c r="F2" s="16"/>
      <c r="G2" s="16"/>
      <c r="H2" s="16"/>
      <c r="I2" s="2"/>
      <c r="J2" s="2"/>
      <c r="K2" s="2"/>
      <c r="L2" s="2"/>
      <c r="M2" s="2"/>
      <c r="N2" s="2"/>
      <c r="O2" s="41"/>
      <c r="P2" s="41"/>
      <c r="Q2" s="41"/>
      <c r="R2" s="41"/>
      <c r="S2" s="2"/>
    </row>
    <row r="3" spans="1:19" s="54" customFormat="1" ht="67.5" customHeight="1">
      <c r="A3" s="150" t="s">
        <v>12</v>
      </c>
      <c r="B3" s="150" t="s">
        <v>254</v>
      </c>
      <c r="C3" s="150" t="s">
        <v>256</v>
      </c>
      <c r="D3" s="150" t="s">
        <v>269</v>
      </c>
      <c r="E3" s="150" t="s">
        <v>258</v>
      </c>
      <c r="F3" s="150" t="s">
        <v>259</v>
      </c>
      <c r="G3" s="150" t="s">
        <v>257</v>
      </c>
      <c r="H3" s="150" t="s">
        <v>250</v>
      </c>
      <c r="I3" s="150" t="s">
        <v>11</v>
      </c>
      <c r="J3" s="150" t="s">
        <v>251</v>
      </c>
      <c r="K3" s="150" t="s">
        <v>16</v>
      </c>
      <c r="L3" s="152" t="s">
        <v>241</v>
      </c>
      <c r="M3" s="153"/>
      <c r="N3" s="53" t="s">
        <v>252</v>
      </c>
      <c r="O3" s="154" t="s">
        <v>242</v>
      </c>
      <c r="P3" s="155"/>
      <c r="Q3" s="154" t="s">
        <v>253</v>
      </c>
      <c r="R3" s="155"/>
      <c r="S3" s="150" t="s">
        <v>255</v>
      </c>
    </row>
    <row r="4" spans="1:19" s="54" customFormat="1" ht="132" customHeight="1">
      <c r="A4" s="151"/>
      <c r="B4" s="151"/>
      <c r="C4" s="151"/>
      <c r="D4" s="151"/>
      <c r="E4" s="151"/>
      <c r="F4" s="151"/>
      <c r="G4" s="151"/>
      <c r="H4" s="151"/>
      <c r="I4" s="151"/>
      <c r="J4" s="151"/>
      <c r="K4" s="151"/>
      <c r="L4" s="53" t="s">
        <v>273</v>
      </c>
      <c r="M4" s="60" t="s">
        <v>274</v>
      </c>
      <c r="N4" s="53"/>
      <c r="O4" s="75" t="s">
        <v>273</v>
      </c>
      <c r="P4" s="76" t="s">
        <v>274</v>
      </c>
      <c r="Q4" s="75" t="s">
        <v>273</v>
      </c>
      <c r="R4" s="76" t="s">
        <v>274</v>
      </c>
      <c r="S4" s="151"/>
    </row>
    <row r="5" spans="1:19" ht="15" customHeight="1">
      <c r="A5" s="3">
        <v>1</v>
      </c>
      <c r="B5" s="3">
        <v>2</v>
      </c>
      <c r="C5" s="3">
        <v>3</v>
      </c>
      <c r="D5" s="3">
        <v>4</v>
      </c>
      <c r="E5" s="3">
        <v>5</v>
      </c>
      <c r="F5" s="3">
        <v>6</v>
      </c>
      <c r="G5" s="3">
        <v>7</v>
      </c>
      <c r="H5" s="3">
        <v>7</v>
      </c>
      <c r="I5" s="3">
        <v>7</v>
      </c>
      <c r="J5" s="3">
        <v>8</v>
      </c>
      <c r="K5" s="3">
        <v>9</v>
      </c>
      <c r="L5" s="3">
        <v>10</v>
      </c>
      <c r="M5" s="3">
        <v>8</v>
      </c>
      <c r="N5" s="3"/>
      <c r="O5" s="43">
        <v>11</v>
      </c>
      <c r="P5" s="43">
        <v>10</v>
      </c>
      <c r="Q5" s="43">
        <v>12</v>
      </c>
      <c r="R5" s="43">
        <v>12</v>
      </c>
      <c r="S5" s="3">
        <v>13</v>
      </c>
    </row>
    <row r="6" spans="1:19" ht="41.25" customHeight="1">
      <c r="A6" s="21"/>
      <c r="B6" s="21"/>
      <c r="C6" s="3" t="s">
        <v>13</v>
      </c>
      <c r="D6" s="3"/>
      <c r="E6" s="3" t="s">
        <v>30</v>
      </c>
      <c r="F6" s="3" t="s">
        <v>30</v>
      </c>
      <c r="G6" s="3" t="s">
        <v>30</v>
      </c>
      <c r="H6" s="3" t="s">
        <v>30</v>
      </c>
      <c r="I6" s="22">
        <f>SUM(I7:I11)</f>
        <v>125210.626</v>
      </c>
      <c r="J6" s="22">
        <f>SUM(J7:J11)</f>
        <v>90478.10800000001</v>
      </c>
      <c r="K6" s="22" t="s">
        <v>30</v>
      </c>
      <c r="L6" s="22">
        <f aca="true" t="shared" si="0" ref="L6:Q6">SUM(L7:L11)</f>
        <v>49555.134999999995</v>
      </c>
      <c r="M6" s="22">
        <f t="shared" si="0"/>
        <v>0</v>
      </c>
      <c r="N6" s="22">
        <f t="shared" si="0"/>
        <v>0</v>
      </c>
      <c r="O6" s="22">
        <f t="shared" si="0"/>
        <v>17109.846</v>
      </c>
      <c r="P6" s="22">
        <f t="shared" si="0"/>
        <v>0</v>
      </c>
      <c r="Q6" s="22">
        <f t="shared" si="0"/>
        <v>17109.846</v>
      </c>
      <c r="R6" s="22" t="e">
        <f>#REF!+#REF!+#REF!+#REF!+#REF!+#REF!</f>
        <v>#REF!</v>
      </c>
      <c r="S6" s="22" t="s">
        <v>30</v>
      </c>
    </row>
    <row r="7" spans="1:20" s="52" customFormat="1" ht="78.75">
      <c r="A7" s="61">
        <v>1</v>
      </c>
      <c r="B7" s="43" t="s">
        <v>452</v>
      </c>
      <c r="C7" s="96" t="s">
        <v>453</v>
      </c>
      <c r="D7" s="66" t="s">
        <v>270</v>
      </c>
      <c r="E7" s="97" t="s">
        <v>458</v>
      </c>
      <c r="F7" s="97"/>
      <c r="G7" s="56"/>
      <c r="H7" s="55">
        <v>2018</v>
      </c>
      <c r="I7" s="23">
        <v>57852.972</v>
      </c>
      <c r="J7" s="23">
        <v>57032.819</v>
      </c>
      <c r="K7" s="29">
        <f>100-(J7/I7*100)</f>
        <v>1.4176505919177345</v>
      </c>
      <c r="L7" s="23">
        <v>17109.846</v>
      </c>
      <c r="M7" s="23"/>
      <c r="N7" s="23"/>
      <c r="O7" s="23">
        <v>17109.846</v>
      </c>
      <c r="P7" s="23"/>
      <c r="Q7" s="23">
        <v>17109.846</v>
      </c>
      <c r="R7" s="23"/>
      <c r="S7" s="74"/>
      <c r="T7" s="52" t="s">
        <v>271</v>
      </c>
    </row>
    <row r="8" spans="1:20" s="52" customFormat="1" ht="78.75">
      <c r="A8" s="61">
        <v>2</v>
      </c>
      <c r="B8" s="43" t="s">
        <v>452</v>
      </c>
      <c r="C8" s="96" t="s">
        <v>454</v>
      </c>
      <c r="D8" s="66" t="s">
        <v>270</v>
      </c>
      <c r="E8" s="97" t="s">
        <v>460</v>
      </c>
      <c r="F8" s="97" t="s">
        <v>459</v>
      </c>
      <c r="G8" s="56"/>
      <c r="H8" s="55">
        <v>2018</v>
      </c>
      <c r="I8" s="23">
        <v>8401.106</v>
      </c>
      <c r="J8" s="23">
        <v>8287.26</v>
      </c>
      <c r="K8" s="29">
        <f>100-(J8/I8*100)</f>
        <v>1.355131098214926</v>
      </c>
      <c r="L8" s="23">
        <v>7287.26</v>
      </c>
      <c r="M8" s="23"/>
      <c r="N8" s="23"/>
      <c r="O8" s="23"/>
      <c r="P8" s="23"/>
      <c r="Q8" s="23"/>
      <c r="R8" s="23"/>
      <c r="S8" s="74"/>
      <c r="T8" s="52" t="s">
        <v>271</v>
      </c>
    </row>
    <row r="9" spans="1:20" s="52" customFormat="1" ht="78.75">
      <c r="A9" s="61">
        <v>3</v>
      </c>
      <c r="B9" s="43" t="s">
        <v>452</v>
      </c>
      <c r="C9" s="96" t="s">
        <v>455</v>
      </c>
      <c r="D9" s="66" t="s">
        <v>270</v>
      </c>
      <c r="E9" s="97" t="s">
        <v>277</v>
      </c>
      <c r="F9" s="97" t="s">
        <v>279</v>
      </c>
      <c r="G9" s="56"/>
      <c r="H9" s="55"/>
      <c r="I9" s="23">
        <f>27620.08+9999.92</f>
        <v>37620</v>
      </c>
      <c r="J9" s="23">
        <v>12010.825</v>
      </c>
      <c r="K9" s="29">
        <f>100-(J9/I9*100)</f>
        <v>68.07329877724615</v>
      </c>
      <c r="L9" s="23">
        <v>12010.825</v>
      </c>
      <c r="M9" s="23"/>
      <c r="N9" s="23"/>
      <c r="O9" s="23"/>
      <c r="P9" s="23"/>
      <c r="Q9" s="23"/>
      <c r="R9" s="23"/>
      <c r="S9" s="25"/>
      <c r="T9" s="52" t="s">
        <v>384</v>
      </c>
    </row>
    <row r="10" spans="1:19" s="52" customFormat="1" ht="78.75">
      <c r="A10" s="61">
        <v>4</v>
      </c>
      <c r="B10" s="43" t="s">
        <v>452</v>
      </c>
      <c r="C10" s="96" t="s">
        <v>456</v>
      </c>
      <c r="D10" s="64" t="s">
        <v>270</v>
      </c>
      <c r="E10" s="98" t="s">
        <v>339</v>
      </c>
      <c r="F10" s="98" t="s">
        <v>340</v>
      </c>
      <c r="G10" s="64"/>
      <c r="H10" s="55">
        <v>2017</v>
      </c>
      <c r="I10" s="23">
        <v>8536.548</v>
      </c>
      <c r="J10" s="23">
        <v>4683.534</v>
      </c>
      <c r="K10" s="29">
        <f>100-(J10/I10*100)</f>
        <v>45.13550442169365</v>
      </c>
      <c r="L10" s="23">
        <v>4683.534</v>
      </c>
      <c r="M10" s="23"/>
      <c r="N10" s="23"/>
      <c r="O10" s="23"/>
      <c r="P10" s="23"/>
      <c r="Q10" s="23"/>
      <c r="R10" s="23"/>
      <c r="S10" s="25"/>
    </row>
    <row r="11" spans="1:19" s="52" customFormat="1" ht="63">
      <c r="A11" s="61">
        <v>5</v>
      </c>
      <c r="B11" s="43" t="s">
        <v>452</v>
      </c>
      <c r="C11" s="96" t="s">
        <v>457</v>
      </c>
      <c r="D11" s="66" t="s">
        <v>270</v>
      </c>
      <c r="E11" s="97" t="s">
        <v>276</v>
      </c>
      <c r="F11" s="97" t="s">
        <v>275</v>
      </c>
      <c r="G11" s="56"/>
      <c r="H11" s="55"/>
      <c r="I11" s="23">
        <v>12800</v>
      </c>
      <c r="J11" s="23">
        <v>8463.67</v>
      </c>
      <c r="K11" s="29">
        <f>100-(J11/I11*100)</f>
        <v>33.877578125</v>
      </c>
      <c r="L11" s="23">
        <v>8463.67</v>
      </c>
      <c r="M11" s="23"/>
      <c r="N11" s="23"/>
      <c r="O11" s="23"/>
      <c r="P11" s="23"/>
      <c r="Q11" s="23"/>
      <c r="R11" s="23"/>
      <c r="S11" s="74"/>
    </row>
    <row r="12" spans="1:19" s="52" customFormat="1" ht="15.75">
      <c r="A12" s="77"/>
      <c r="B12" s="78"/>
      <c r="C12" s="79"/>
      <c r="D12" s="80"/>
      <c r="E12" s="80"/>
      <c r="F12" s="80"/>
      <c r="G12" s="80"/>
      <c r="H12" s="81"/>
      <c r="I12" s="94"/>
      <c r="J12" s="94"/>
      <c r="K12" s="82"/>
      <c r="L12" s="83"/>
      <c r="M12" s="83"/>
      <c r="N12" s="83"/>
      <c r="O12" s="83"/>
      <c r="P12" s="83"/>
      <c r="Q12" s="83"/>
      <c r="R12" s="83"/>
      <c r="S12" s="79"/>
    </row>
    <row r="13" spans="2:19" ht="40.5" customHeight="1">
      <c r="B13" s="149" t="s">
        <v>381</v>
      </c>
      <c r="C13" s="149"/>
      <c r="D13" s="149"/>
      <c r="E13" s="149"/>
      <c r="F13" s="149"/>
      <c r="G13" s="149"/>
      <c r="H13" s="149"/>
      <c r="I13" s="149"/>
      <c r="J13" s="149"/>
      <c r="S13" s="18" t="s">
        <v>382</v>
      </c>
    </row>
    <row r="14" ht="15.75">
      <c r="S14" s="18"/>
    </row>
    <row r="15" spans="1:8" ht="15.75">
      <c r="A15" s="18"/>
      <c r="C15" s="19"/>
      <c r="D15" s="57"/>
      <c r="E15" s="57"/>
      <c r="F15" s="57"/>
      <c r="G15" s="57"/>
      <c r="H15" s="57"/>
    </row>
  </sheetData>
  <sheetProtection/>
  <mergeCells count="17">
    <mergeCell ref="B13:J13"/>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49" bottom="0.2362204724409449" header="0.2755905511811024" footer="0.15748031496062992"/>
  <pageSetup horizontalDpi="600" verticalDpi="600" orientation="landscape" paperSize="9" scale="59" r:id="rId1"/>
  <rowBreaks count="2" manualBreakCount="2">
    <brk id="13" max="18" man="1"/>
    <brk id="14" max="9" man="1"/>
  </rowBreaks>
</worksheet>
</file>

<file path=xl/worksheets/sheet16.xml><?xml version="1.0" encoding="utf-8"?>
<worksheet xmlns="http://schemas.openxmlformats.org/spreadsheetml/2006/main" xmlns:r="http://schemas.openxmlformats.org/officeDocument/2006/relationships">
  <sheetPr>
    <tabColor rgb="FF92D050"/>
  </sheetPr>
  <dimension ref="A1:J18"/>
  <sheetViews>
    <sheetView zoomScale="55" zoomScaleNormal="55"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C6" sqref="C6"/>
    </sheetView>
  </sheetViews>
  <sheetFormatPr defaultColWidth="9.00390625" defaultRowHeight="12.75"/>
  <cols>
    <col min="1" max="1" width="6.00390625" style="4" customWidth="1"/>
    <col min="2" max="2" width="9.125" style="17" customWidth="1"/>
    <col min="3" max="3" width="79.625" style="8" customWidth="1"/>
    <col min="4" max="4" width="13.375" style="4" customWidth="1"/>
    <col min="5" max="5" width="13.00390625" style="4" customWidth="1"/>
    <col min="6" max="6" width="15.625" style="4" customWidth="1"/>
    <col min="7" max="7" width="15.625" style="44" customWidth="1"/>
    <col min="8" max="8" width="36.875" style="4" customWidth="1"/>
    <col min="9" max="9" width="11.625" style="4" customWidth="1"/>
    <col min="10" max="10" width="13.125" style="4" customWidth="1"/>
    <col min="11" max="16384" width="9.125" style="4" customWidth="1"/>
  </cols>
  <sheetData>
    <row r="1" spans="1:9" ht="53.25" customHeight="1">
      <c r="A1" s="148" t="s">
        <v>57</v>
      </c>
      <c r="B1" s="148"/>
      <c r="C1" s="148"/>
      <c r="D1" s="148"/>
      <c r="E1" s="148"/>
      <c r="F1" s="148"/>
      <c r="G1" s="148"/>
      <c r="H1" s="148"/>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SUM(D6:D13)</f>
        <v>2970</v>
      </c>
      <c r="E5" s="22">
        <f>SUM(E6:E13)</f>
        <v>2970</v>
      </c>
      <c r="F5" s="22" t="s">
        <v>30</v>
      </c>
      <c r="G5" s="40">
        <f>SUM(G6:G13)</f>
        <v>2970</v>
      </c>
      <c r="H5" s="40" t="s">
        <v>30</v>
      </c>
      <c r="I5" s="38"/>
      <c r="J5" s="13"/>
    </row>
    <row r="6" spans="1:9" s="14" customFormat="1" ht="47.25">
      <c r="A6" s="1">
        <v>1</v>
      </c>
      <c r="B6" s="3" t="s">
        <v>19</v>
      </c>
      <c r="C6" s="15" t="s">
        <v>222</v>
      </c>
      <c r="D6" s="20">
        <v>500</v>
      </c>
      <c r="E6" s="20">
        <v>500</v>
      </c>
      <c r="F6" s="48">
        <v>0</v>
      </c>
      <c r="G6" s="23">
        <v>500</v>
      </c>
      <c r="H6" s="25" t="s">
        <v>226</v>
      </c>
      <c r="I6" s="7"/>
    </row>
    <row r="7" spans="1:9" s="14" customFormat="1" ht="63">
      <c r="A7" s="1">
        <v>2</v>
      </c>
      <c r="B7" s="3" t="s">
        <v>19</v>
      </c>
      <c r="C7" s="6" t="s">
        <v>225</v>
      </c>
      <c r="D7" s="47">
        <v>70</v>
      </c>
      <c r="E7" s="47">
        <f aca="true" t="shared" si="0" ref="E7:E13">D7</f>
        <v>70</v>
      </c>
      <c r="F7" s="48">
        <f>100-(E7/D7*100)</f>
        <v>0</v>
      </c>
      <c r="G7" s="47">
        <v>70</v>
      </c>
      <c r="H7" s="49" t="s">
        <v>202</v>
      </c>
      <c r="I7" s="32"/>
    </row>
    <row r="8" spans="1:9" s="14" customFormat="1" ht="45">
      <c r="A8" s="1">
        <v>3</v>
      </c>
      <c r="B8" s="45" t="s">
        <v>23</v>
      </c>
      <c r="C8" s="46" t="s">
        <v>224</v>
      </c>
      <c r="D8" s="47">
        <v>300</v>
      </c>
      <c r="E8" s="47">
        <f t="shared" si="0"/>
        <v>300</v>
      </c>
      <c r="F8" s="48">
        <f>100-(E8/D8*100)</f>
        <v>0</v>
      </c>
      <c r="G8" s="47">
        <v>300</v>
      </c>
      <c r="H8" s="49" t="s">
        <v>202</v>
      </c>
      <c r="I8" s="4"/>
    </row>
    <row r="9" spans="1:9" s="14" customFormat="1" ht="47.25">
      <c r="A9" s="1">
        <v>4</v>
      </c>
      <c r="B9" s="3" t="s">
        <v>23</v>
      </c>
      <c r="C9" s="6" t="s">
        <v>54</v>
      </c>
      <c r="D9" s="23">
        <v>250</v>
      </c>
      <c r="E9" s="23">
        <f t="shared" si="0"/>
        <v>250</v>
      </c>
      <c r="F9" s="9">
        <f>100-(E9/D9*100)</f>
        <v>0</v>
      </c>
      <c r="G9" s="23">
        <v>250</v>
      </c>
      <c r="H9" s="24" t="s">
        <v>227</v>
      </c>
      <c r="I9" s="4"/>
    </row>
    <row r="10" spans="1:9" s="14" customFormat="1" ht="47.25">
      <c r="A10" s="1">
        <v>5</v>
      </c>
      <c r="B10" s="3" t="s">
        <v>111</v>
      </c>
      <c r="C10" s="6" t="s">
        <v>112</v>
      </c>
      <c r="D10" s="23">
        <v>300</v>
      </c>
      <c r="E10" s="23">
        <f t="shared" si="0"/>
        <v>300</v>
      </c>
      <c r="F10" s="29">
        <v>0</v>
      </c>
      <c r="G10" s="23">
        <v>300</v>
      </c>
      <c r="H10" s="24" t="s">
        <v>167</v>
      </c>
      <c r="I10" s="18"/>
    </row>
    <row r="11" spans="1:9" s="14" customFormat="1" ht="63">
      <c r="A11" s="1">
        <v>6</v>
      </c>
      <c r="B11" s="3" t="s">
        <v>120</v>
      </c>
      <c r="C11" s="6" t="s">
        <v>122</v>
      </c>
      <c r="D11" s="7">
        <v>700</v>
      </c>
      <c r="E11" s="7">
        <f t="shared" si="0"/>
        <v>700</v>
      </c>
      <c r="F11" s="9">
        <f>100-(E11/D11*100)</f>
        <v>0</v>
      </c>
      <c r="G11" s="23">
        <v>700</v>
      </c>
      <c r="H11" s="24" t="s">
        <v>202</v>
      </c>
      <c r="I11" s="4"/>
    </row>
    <row r="12" spans="1:9" s="14" customFormat="1" ht="47.25">
      <c r="A12" s="1">
        <v>7</v>
      </c>
      <c r="B12" s="3" t="s">
        <v>218</v>
      </c>
      <c r="C12" s="6" t="s">
        <v>114</v>
      </c>
      <c r="D12" s="20">
        <v>150</v>
      </c>
      <c r="E12" s="7">
        <f t="shared" si="0"/>
        <v>150</v>
      </c>
      <c r="F12" s="9">
        <f>100-(E12/D12*100)</f>
        <v>0</v>
      </c>
      <c r="G12" s="23">
        <v>150</v>
      </c>
      <c r="H12" s="24" t="s">
        <v>227</v>
      </c>
      <c r="I12" s="4"/>
    </row>
    <row r="13" spans="1:9" s="14" customFormat="1" ht="63">
      <c r="A13" s="1">
        <v>8</v>
      </c>
      <c r="B13" s="3" t="s">
        <v>27</v>
      </c>
      <c r="C13" s="6" t="s">
        <v>0</v>
      </c>
      <c r="D13" s="20">
        <v>700</v>
      </c>
      <c r="E13" s="20">
        <f t="shared" si="0"/>
        <v>700</v>
      </c>
      <c r="F13" s="9">
        <f>100-(E13/D13*100)</f>
        <v>0</v>
      </c>
      <c r="G13" s="23">
        <v>700</v>
      </c>
      <c r="H13" s="24" t="s">
        <v>202</v>
      </c>
      <c r="I13" s="4"/>
    </row>
    <row r="16" spans="2:10" ht="40.5" customHeight="1">
      <c r="B16" s="149" t="s">
        <v>39</v>
      </c>
      <c r="C16" s="149"/>
      <c r="D16" s="149"/>
      <c r="E16" s="149"/>
      <c r="H16" s="18" t="s">
        <v>31</v>
      </c>
      <c r="J16" s="18"/>
    </row>
    <row r="17" spans="8:10" ht="15.75">
      <c r="H17" s="18"/>
      <c r="J17" s="18"/>
    </row>
    <row r="18" spans="1:3" ht="15.75">
      <c r="A18" s="18"/>
      <c r="C18" s="19" t="s">
        <v>32</v>
      </c>
    </row>
  </sheetData>
  <sheetProtection/>
  <mergeCells count="2">
    <mergeCell ref="A1:H1"/>
    <mergeCell ref="B16:E16"/>
  </mergeCells>
  <printOptions/>
  <pageMargins left="0.2755905511811024" right="0.1968503937007874" top="0.31496062992125984" bottom="0.2362204724409449" header="0.2755905511811024" footer="0.1574803149606299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indexed="26"/>
  </sheetPr>
  <dimension ref="A1:J10"/>
  <sheetViews>
    <sheetView view="pageBreakPreview" zoomScale="5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8" t="s">
        <v>212</v>
      </c>
      <c r="B1" s="148"/>
      <c r="C1" s="148"/>
      <c r="D1" s="148"/>
      <c r="E1" s="148"/>
      <c r="F1" s="148"/>
      <c r="G1" s="148"/>
      <c r="H1" s="148"/>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SUM(D6:D9)</f>
        <v>72213.306</v>
      </c>
      <c r="E5" s="22">
        <f>SUM(E6:E9)</f>
        <v>53047.18</v>
      </c>
      <c r="F5" s="22" t="s">
        <v>30</v>
      </c>
      <c r="G5" s="22">
        <f>SUM(G6:G9)</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v>1901.067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63">
      <c r="A8" s="1">
        <v>3</v>
      </c>
      <c r="B8" s="3" t="s">
        <v>28</v>
      </c>
      <c r="C8" s="15" t="s">
        <v>143</v>
      </c>
      <c r="D8" s="20">
        <v>500.3</v>
      </c>
      <c r="E8" s="20">
        <f>D8-18</f>
        <v>482.3</v>
      </c>
      <c r="F8" s="9">
        <f>100-(E8/D8*100)</f>
        <v>3.5978412952228638</v>
      </c>
      <c r="G8" s="23">
        <v>482.3</v>
      </c>
      <c r="H8" s="27" t="s">
        <v>163</v>
      </c>
      <c r="I8" s="32"/>
    </row>
    <row r="9" spans="1:9" s="14" customFormat="1" ht="47.25">
      <c r="A9" s="1">
        <v>4</v>
      </c>
      <c r="B9" s="3" t="s">
        <v>18</v>
      </c>
      <c r="C9" s="6" t="s">
        <v>64</v>
      </c>
      <c r="D9" s="20">
        <v>538.445</v>
      </c>
      <c r="E9" s="20">
        <f>D9-280</f>
        <v>258.44500000000005</v>
      </c>
      <c r="F9" s="9">
        <f>100-(E9/D9*100)</f>
        <v>52.001597191913746</v>
      </c>
      <c r="G9" s="23">
        <v>258.445</v>
      </c>
      <c r="H9" s="6" t="s">
        <v>179</v>
      </c>
      <c r="I9" s="4"/>
    </row>
    <row r="10" spans="1:9" s="14" customFormat="1" ht="110.25">
      <c r="A10" s="1">
        <v>5</v>
      </c>
      <c r="B10" s="3" t="s">
        <v>78</v>
      </c>
      <c r="C10" s="6" t="s">
        <v>215</v>
      </c>
      <c r="D10" s="20">
        <f>297.072+600-32.592</f>
        <v>864.48</v>
      </c>
      <c r="E10" s="20">
        <f>D10-30.259-234.221</f>
        <v>600</v>
      </c>
      <c r="F10" s="9">
        <f>100-(E10/D10*100)</f>
        <v>30.594114380899512</v>
      </c>
      <c r="G10" s="23">
        <v>600</v>
      </c>
      <c r="H10" s="6" t="s">
        <v>216</v>
      </c>
      <c r="I10"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tabColor indexed="26"/>
  </sheetPr>
  <dimension ref="A1:J9"/>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8" t="s">
        <v>212</v>
      </c>
      <c r="B1" s="148"/>
      <c r="C1" s="148"/>
      <c r="D1" s="148"/>
      <c r="E1" s="148"/>
      <c r="F1" s="148"/>
      <c r="G1" s="148"/>
      <c r="H1" s="148"/>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SUM(D6:D8)</f>
        <v>71713.006</v>
      </c>
      <c r="E5" s="22">
        <f>SUM(E6:E8)</f>
        <v>52564.88</v>
      </c>
      <c r="F5" s="22" t="s">
        <v>30</v>
      </c>
      <c r="G5" s="22">
        <f>SUM(G6:G8)</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f>1901.067+482.3</f>
        <v>2383.367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47.25">
      <c r="A8" s="1">
        <v>3</v>
      </c>
      <c r="B8" s="3" t="s">
        <v>18</v>
      </c>
      <c r="C8" s="6" t="s">
        <v>64</v>
      </c>
      <c r="D8" s="20">
        <v>538.445</v>
      </c>
      <c r="E8" s="20">
        <f>D8-280</f>
        <v>258.44500000000005</v>
      </c>
      <c r="F8" s="9">
        <f>100-(E8/D8*100)</f>
        <v>52.001597191913746</v>
      </c>
      <c r="G8" s="23">
        <v>258.445</v>
      </c>
      <c r="H8" s="6" t="s">
        <v>179</v>
      </c>
      <c r="I8" s="4"/>
    </row>
    <row r="9" spans="1:9" s="14" customFormat="1" ht="110.25">
      <c r="A9" s="1">
        <v>4</v>
      </c>
      <c r="B9" s="3" t="s">
        <v>78</v>
      </c>
      <c r="C9" s="6" t="s">
        <v>215</v>
      </c>
      <c r="D9" s="20">
        <f>297.072+600-32.592</f>
        <v>864.48</v>
      </c>
      <c r="E9" s="20">
        <f>D9-30.259-234.221</f>
        <v>600</v>
      </c>
      <c r="F9" s="9">
        <f>100-(E9/D9*100)</f>
        <v>30.594114380899512</v>
      </c>
      <c r="G9" s="23">
        <v>600</v>
      </c>
      <c r="H9" s="6" t="s">
        <v>216</v>
      </c>
      <c r="I9"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rgb="FFFFFF00"/>
  </sheetPr>
  <dimension ref="A1:J1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8" t="s">
        <v>57</v>
      </c>
      <c r="B1" s="148"/>
      <c r="C1" s="148"/>
      <c r="D1" s="148"/>
      <c r="E1" s="148"/>
      <c r="F1" s="148"/>
      <c r="G1" s="148"/>
      <c r="H1" s="14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SUM(D6:D11)</f>
        <v>44145.047</v>
      </c>
      <c r="E5" s="22">
        <f>SUM(E6:E11)</f>
        <v>40375.815</v>
      </c>
      <c r="F5" s="22" t="s">
        <v>30</v>
      </c>
      <c r="G5" s="22">
        <f>SUM(G6:G11)</f>
        <v>20782.308999999997</v>
      </c>
      <c r="H5" s="10"/>
      <c r="J5" s="13" t="e">
        <f>I5-#REF!</f>
        <v>#REF!</v>
      </c>
    </row>
    <row r="6" spans="1:9" s="14" customFormat="1" ht="94.5">
      <c r="A6" s="1">
        <v>1</v>
      </c>
      <c r="B6" s="3" t="s">
        <v>33</v>
      </c>
      <c r="C6" s="6" t="s">
        <v>79</v>
      </c>
      <c r="D6" s="20">
        <v>21981.914</v>
      </c>
      <c r="E6" s="20">
        <f>D6-188.441</f>
        <v>21793.473</v>
      </c>
      <c r="F6" s="9">
        <f aca="true" t="shared" si="0" ref="F6:F11">100-(E6/D6*100)</f>
        <v>0.8572547413296121</v>
      </c>
      <c r="G6" s="23">
        <v>2200</v>
      </c>
      <c r="H6" s="6" t="s">
        <v>82</v>
      </c>
      <c r="I6" s="7"/>
    </row>
    <row r="7" spans="1:9" s="14" customFormat="1" ht="63">
      <c r="A7" s="1">
        <v>2</v>
      </c>
      <c r="B7" s="3" t="s">
        <v>27</v>
      </c>
      <c r="C7" s="6" t="s">
        <v>61</v>
      </c>
      <c r="D7" s="20">
        <v>4691.8</v>
      </c>
      <c r="E7" s="20">
        <f>4691.8-1520</f>
        <v>3171.8</v>
      </c>
      <c r="F7" s="9">
        <f t="shared" si="0"/>
        <v>32.396947866490464</v>
      </c>
      <c r="G7" s="20">
        <v>3171.8</v>
      </c>
      <c r="H7" s="6" t="s">
        <v>47</v>
      </c>
      <c r="I7" s="4"/>
    </row>
    <row r="8" spans="1:9" s="14" customFormat="1" ht="110.25">
      <c r="A8" s="1">
        <v>3</v>
      </c>
      <c r="B8" s="3" t="s">
        <v>27</v>
      </c>
      <c r="C8" s="6" t="s">
        <v>0</v>
      </c>
      <c r="D8" s="20">
        <v>3800</v>
      </c>
      <c r="E8" s="20">
        <f>D8</f>
        <v>3800</v>
      </c>
      <c r="F8" s="9">
        <f t="shared" si="0"/>
        <v>0</v>
      </c>
      <c r="G8" s="20">
        <v>3800</v>
      </c>
      <c r="H8" s="6" t="s">
        <v>204</v>
      </c>
      <c r="I8" s="4"/>
    </row>
    <row r="9" spans="1:9" s="14" customFormat="1" ht="110.25">
      <c r="A9" s="1">
        <v>4</v>
      </c>
      <c r="B9" s="3" t="s">
        <v>27</v>
      </c>
      <c r="C9" s="6" t="s">
        <v>1</v>
      </c>
      <c r="D9" s="20">
        <v>400</v>
      </c>
      <c r="E9" s="20">
        <f>D9</f>
        <v>400</v>
      </c>
      <c r="F9" s="9">
        <f t="shared" si="0"/>
        <v>0</v>
      </c>
      <c r="G9" s="20">
        <v>400</v>
      </c>
      <c r="H9" s="6" t="s">
        <v>205</v>
      </c>
      <c r="I9" s="4"/>
    </row>
    <row r="10" spans="1:9" s="14" customFormat="1" ht="63">
      <c r="A10" s="1">
        <v>5</v>
      </c>
      <c r="B10" s="3" t="s">
        <v>27</v>
      </c>
      <c r="C10" s="6" t="s">
        <v>76</v>
      </c>
      <c r="D10" s="20">
        <v>8500</v>
      </c>
      <c r="E10" s="20">
        <f>D10-400.791</f>
        <v>8099.209</v>
      </c>
      <c r="F10" s="9">
        <f t="shared" si="0"/>
        <v>4.7151882352941215</v>
      </c>
      <c r="G10" s="20">
        <v>8099.209</v>
      </c>
      <c r="H10" s="6" t="s">
        <v>206</v>
      </c>
      <c r="I10" s="4"/>
    </row>
    <row r="11" spans="1:9" s="14" customFormat="1" ht="63">
      <c r="A11" s="1">
        <v>6</v>
      </c>
      <c r="B11" s="3" t="s">
        <v>24</v>
      </c>
      <c r="C11" s="6" t="s">
        <v>63</v>
      </c>
      <c r="D11" s="20">
        <v>4771.333</v>
      </c>
      <c r="E11" s="20">
        <f>D11-1660</f>
        <v>3111.3329999999996</v>
      </c>
      <c r="F11" s="9">
        <f t="shared" si="0"/>
        <v>34.79111602564734</v>
      </c>
      <c r="G11" s="20">
        <v>3111.3</v>
      </c>
      <c r="H11" s="11" t="s">
        <v>73</v>
      </c>
      <c r="I11" s="4"/>
    </row>
    <row r="13" spans="2:8" ht="15">
      <c r="B13" s="34"/>
      <c r="C13" s="35"/>
      <c r="D13" s="36"/>
      <c r="E13" s="36"/>
      <c r="F13" s="36"/>
      <c r="G13" s="36"/>
      <c r="H13" s="36"/>
    </row>
    <row r="14" spans="8:10" ht="15.75">
      <c r="H14" s="18"/>
      <c r="J14" s="18"/>
    </row>
    <row r="15" spans="1:3" ht="15.75">
      <c r="A15" s="18"/>
      <c r="C15" s="19"/>
    </row>
  </sheetData>
  <sheetProtection/>
  <mergeCells count="1">
    <mergeCell ref="A1:H1"/>
  </mergeCells>
  <printOptions/>
  <pageMargins left="0.2755905511811024" right="0.2" top="0.66" bottom="0.23" header="0.27" footer="0.1574803149606299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26"/>
  </sheetPr>
  <dimension ref="A1:J46"/>
  <sheetViews>
    <sheetView zoomScale="70" zoomScaleNormal="70" zoomScaleSheetLayoutView="50" zoomScalePageLayoutView="0" workbookViewId="0" topLeftCell="A3">
      <pane xSplit="3" ySplit="2" topLeftCell="D3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8" t="s">
        <v>57</v>
      </c>
      <c r="B1" s="148"/>
      <c r="C1" s="148"/>
      <c r="D1" s="148"/>
      <c r="E1" s="148"/>
      <c r="F1" s="148"/>
      <c r="G1" s="148"/>
      <c r="H1" s="14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SUM(D6:D41)</f>
        <v>157915.554</v>
      </c>
      <c r="E5" s="22">
        <f>SUM(E6:E41)</f>
        <v>141124.365</v>
      </c>
      <c r="F5" s="22" t="s">
        <v>30</v>
      </c>
      <c r="G5" s="22">
        <f>SUM(G6:G41)</f>
        <v>93470</v>
      </c>
      <c r="H5" s="10"/>
      <c r="J5" s="13" t="e">
        <f>I5-#REF!</f>
        <v>#REF!</v>
      </c>
    </row>
    <row r="6" spans="1:9" s="14" customFormat="1" ht="78.75">
      <c r="A6" s="1">
        <v>1</v>
      </c>
      <c r="B6" s="3" t="s">
        <v>19</v>
      </c>
      <c r="C6" s="6" t="s">
        <v>107</v>
      </c>
      <c r="D6" s="7">
        <v>24254.365</v>
      </c>
      <c r="E6" s="7">
        <f>D6</f>
        <v>24254.365</v>
      </c>
      <c r="F6" s="9">
        <f aca="true" t="shared" si="0" ref="F6:F14">100-(E6/D6*100)</f>
        <v>0</v>
      </c>
      <c r="G6" s="20">
        <v>4500</v>
      </c>
      <c r="H6" s="6" t="s">
        <v>146</v>
      </c>
      <c r="I6" s="4"/>
    </row>
    <row r="7" spans="1:9" s="14" customFormat="1" ht="94.5">
      <c r="A7" s="1">
        <v>2</v>
      </c>
      <c r="B7" s="3" t="s">
        <v>19</v>
      </c>
      <c r="C7" s="6" t="s">
        <v>108</v>
      </c>
      <c r="D7" s="7">
        <v>1500</v>
      </c>
      <c r="E7" s="7">
        <f>D7</f>
        <v>1500</v>
      </c>
      <c r="F7" s="9">
        <f t="shared" si="0"/>
        <v>0</v>
      </c>
      <c r="G7" s="20">
        <v>1500</v>
      </c>
      <c r="H7" s="6" t="s">
        <v>147</v>
      </c>
      <c r="I7" s="4"/>
    </row>
    <row r="8" spans="1:9" s="14" customFormat="1" ht="94.5">
      <c r="A8" s="1">
        <v>3</v>
      </c>
      <c r="B8" s="3" t="s">
        <v>19</v>
      </c>
      <c r="C8" s="6" t="s">
        <v>109</v>
      </c>
      <c r="D8" s="7">
        <v>1500</v>
      </c>
      <c r="E8" s="7">
        <f>D8</f>
        <v>1500</v>
      </c>
      <c r="F8" s="9">
        <f t="shared" si="0"/>
        <v>0</v>
      </c>
      <c r="G8" s="20">
        <v>1500</v>
      </c>
      <c r="H8" s="6" t="s">
        <v>147</v>
      </c>
      <c r="I8" s="4"/>
    </row>
    <row r="9" spans="1:9" s="14" customFormat="1" ht="126">
      <c r="A9" s="1">
        <v>4</v>
      </c>
      <c r="B9" s="3" t="s">
        <v>20</v>
      </c>
      <c r="C9" s="6" t="s">
        <v>77</v>
      </c>
      <c r="D9" s="20">
        <f>5003.801+1000-214.453</f>
        <v>5789.348</v>
      </c>
      <c r="E9" s="20">
        <f>D9-34.588-4754.76</f>
        <v>1000</v>
      </c>
      <c r="F9" s="9">
        <f t="shared" si="0"/>
        <v>82.72689774392558</v>
      </c>
      <c r="G9" s="20">
        <v>1000</v>
      </c>
      <c r="H9" s="6" t="s">
        <v>148</v>
      </c>
      <c r="I9" s="7"/>
    </row>
    <row r="10" spans="1:9" s="14" customFormat="1" ht="94.5">
      <c r="A10" s="1">
        <v>5</v>
      </c>
      <c r="B10" s="3" t="s">
        <v>20</v>
      </c>
      <c r="C10" s="6" t="s">
        <v>84</v>
      </c>
      <c r="D10" s="20">
        <v>4500</v>
      </c>
      <c r="E10" s="20">
        <f>D10</f>
        <v>4500</v>
      </c>
      <c r="F10" s="9">
        <f t="shared" si="0"/>
        <v>0</v>
      </c>
      <c r="G10" s="20">
        <v>4500</v>
      </c>
      <c r="H10" s="6" t="s">
        <v>151</v>
      </c>
      <c r="I10" s="7"/>
    </row>
    <row r="11" spans="1:9" s="14" customFormat="1" ht="94.5">
      <c r="A11" s="1">
        <v>6</v>
      </c>
      <c r="B11" s="3" t="s">
        <v>20</v>
      </c>
      <c r="C11" s="6" t="s">
        <v>87</v>
      </c>
      <c r="D11" s="20">
        <v>3000</v>
      </c>
      <c r="E11" s="20">
        <f>D11</f>
        <v>3000</v>
      </c>
      <c r="F11" s="9">
        <f t="shared" si="0"/>
        <v>0</v>
      </c>
      <c r="G11" s="20">
        <v>3000</v>
      </c>
      <c r="H11" s="6" t="s">
        <v>152</v>
      </c>
      <c r="I11" s="7"/>
    </row>
    <row r="12" spans="1:9" s="14" customFormat="1" ht="94.5">
      <c r="A12" s="1">
        <v>7</v>
      </c>
      <c r="B12" s="3" t="s">
        <v>20</v>
      </c>
      <c r="C12" s="6" t="s">
        <v>88</v>
      </c>
      <c r="D12" s="20">
        <v>3500</v>
      </c>
      <c r="E12" s="20">
        <f>D12</f>
        <v>3500</v>
      </c>
      <c r="F12" s="9">
        <f t="shared" si="0"/>
        <v>0</v>
      </c>
      <c r="G12" s="20">
        <v>3500</v>
      </c>
      <c r="H12" s="6" t="s">
        <v>152</v>
      </c>
      <c r="I12" s="7"/>
    </row>
    <row r="13" spans="1:9" s="14" customFormat="1" ht="78.75">
      <c r="A13" s="1">
        <v>8</v>
      </c>
      <c r="B13" s="3" t="s">
        <v>20</v>
      </c>
      <c r="C13" s="6" t="s">
        <v>89</v>
      </c>
      <c r="D13" s="20">
        <v>3800</v>
      </c>
      <c r="E13" s="20">
        <f>D13</f>
        <v>3800</v>
      </c>
      <c r="F13" s="9">
        <f t="shared" si="0"/>
        <v>0</v>
      </c>
      <c r="G13" s="20">
        <v>3800</v>
      </c>
      <c r="H13" s="6" t="s">
        <v>153</v>
      </c>
      <c r="I13" s="7"/>
    </row>
    <row r="14" spans="1:9" s="14" customFormat="1" ht="94.5">
      <c r="A14" s="1">
        <v>9</v>
      </c>
      <c r="B14" s="3" t="s">
        <v>20</v>
      </c>
      <c r="C14" s="6" t="s">
        <v>90</v>
      </c>
      <c r="D14" s="20">
        <v>3800</v>
      </c>
      <c r="E14" s="20">
        <f>D14</f>
        <v>3800</v>
      </c>
      <c r="F14" s="9">
        <f t="shared" si="0"/>
        <v>0</v>
      </c>
      <c r="G14" s="20">
        <v>3800</v>
      </c>
      <c r="H14" s="6" t="s">
        <v>154</v>
      </c>
      <c r="I14" s="7"/>
    </row>
    <row r="15" spans="1:9" s="14" customFormat="1" ht="141.75">
      <c r="A15" s="1">
        <v>10</v>
      </c>
      <c r="B15" s="3" t="s">
        <v>80</v>
      </c>
      <c r="C15" s="15" t="s">
        <v>81</v>
      </c>
      <c r="D15" s="20">
        <v>20000</v>
      </c>
      <c r="E15" s="20">
        <v>20000</v>
      </c>
      <c r="F15" s="9">
        <f aca="true" t="shared" si="1" ref="F15:F21">100-(E15/D15*100)</f>
        <v>0</v>
      </c>
      <c r="G15" s="20">
        <v>5000</v>
      </c>
      <c r="H15" s="11" t="s">
        <v>157</v>
      </c>
      <c r="I15" s="32"/>
    </row>
    <row r="16" spans="1:9" s="14" customFormat="1" ht="78.75">
      <c r="A16" s="1">
        <v>11</v>
      </c>
      <c r="B16" s="3" t="s">
        <v>28</v>
      </c>
      <c r="C16" s="15" t="s">
        <v>129</v>
      </c>
      <c r="D16" s="20">
        <v>8000</v>
      </c>
      <c r="E16" s="20">
        <f aca="true" t="shared" si="2" ref="E16:E21">D16</f>
        <v>8000</v>
      </c>
      <c r="F16" s="9">
        <f t="shared" si="1"/>
        <v>0</v>
      </c>
      <c r="G16" s="20">
        <v>3200</v>
      </c>
      <c r="H16" s="11" t="s">
        <v>159</v>
      </c>
      <c r="I16" s="32"/>
    </row>
    <row r="17" spans="1:9" s="14" customFormat="1" ht="78.75">
      <c r="A17" s="1">
        <v>12</v>
      </c>
      <c r="B17" s="3" t="s">
        <v>23</v>
      </c>
      <c r="C17" s="6" t="s">
        <v>168</v>
      </c>
      <c r="D17" s="28">
        <v>1500</v>
      </c>
      <c r="E17" s="28">
        <f t="shared" si="2"/>
        <v>1500</v>
      </c>
      <c r="F17" s="9">
        <f t="shared" si="1"/>
        <v>0</v>
      </c>
      <c r="G17" s="20">
        <v>1500</v>
      </c>
      <c r="H17" s="6" t="s">
        <v>170</v>
      </c>
      <c r="I17" s="4"/>
    </row>
    <row r="18" spans="1:9" s="14" customFormat="1" ht="78.75">
      <c r="A18" s="1">
        <v>13</v>
      </c>
      <c r="B18" s="3" t="s">
        <v>172</v>
      </c>
      <c r="C18" s="6" t="s">
        <v>124</v>
      </c>
      <c r="D18" s="28">
        <v>1500</v>
      </c>
      <c r="E18" s="28">
        <f t="shared" si="2"/>
        <v>1500</v>
      </c>
      <c r="F18" s="29">
        <f t="shared" si="1"/>
        <v>0</v>
      </c>
      <c r="G18" s="23">
        <v>1500</v>
      </c>
      <c r="H18" s="24" t="s">
        <v>173</v>
      </c>
      <c r="I18" s="4"/>
    </row>
    <row r="19" spans="1:9" s="14" customFormat="1" ht="94.5">
      <c r="A19" s="1">
        <v>14</v>
      </c>
      <c r="B19" s="3" t="s">
        <v>86</v>
      </c>
      <c r="C19" s="6" t="s">
        <v>91</v>
      </c>
      <c r="D19" s="7">
        <v>5600</v>
      </c>
      <c r="E19" s="7">
        <f t="shared" si="2"/>
        <v>5600</v>
      </c>
      <c r="F19" s="9">
        <f t="shared" si="1"/>
        <v>0</v>
      </c>
      <c r="G19" s="20">
        <v>5600</v>
      </c>
      <c r="H19" s="6" t="s">
        <v>174</v>
      </c>
      <c r="I19" s="4"/>
    </row>
    <row r="20" spans="1:9" s="14" customFormat="1" ht="94.5">
      <c r="A20" s="1">
        <v>15</v>
      </c>
      <c r="B20" s="3" t="s">
        <v>86</v>
      </c>
      <c r="C20" s="6" t="s">
        <v>92</v>
      </c>
      <c r="D20" s="7">
        <v>4000</v>
      </c>
      <c r="E20" s="7">
        <f t="shared" si="2"/>
        <v>4000</v>
      </c>
      <c r="F20" s="9">
        <f t="shared" si="1"/>
        <v>0</v>
      </c>
      <c r="G20" s="20">
        <v>2900</v>
      </c>
      <c r="H20" s="6" t="s">
        <v>175</v>
      </c>
      <c r="I20" s="4"/>
    </row>
    <row r="21" spans="1:9" s="14" customFormat="1" ht="126">
      <c r="A21" s="1">
        <v>16</v>
      </c>
      <c r="B21" s="3" t="s">
        <v>86</v>
      </c>
      <c r="C21" s="6" t="s">
        <v>94</v>
      </c>
      <c r="D21" s="7">
        <v>1100</v>
      </c>
      <c r="E21" s="7">
        <f t="shared" si="2"/>
        <v>1100</v>
      </c>
      <c r="F21" s="9">
        <f t="shared" si="1"/>
        <v>0</v>
      </c>
      <c r="G21" s="20">
        <v>1100</v>
      </c>
      <c r="H21" s="25" t="s">
        <v>176</v>
      </c>
      <c r="I21" s="4"/>
    </row>
    <row r="22" spans="1:9" s="14" customFormat="1" ht="94.5">
      <c r="A22" s="1">
        <v>17</v>
      </c>
      <c r="B22" s="3" t="s">
        <v>2</v>
      </c>
      <c r="C22" s="6" t="s">
        <v>53</v>
      </c>
      <c r="D22" s="20">
        <v>460</v>
      </c>
      <c r="E22" s="20">
        <v>460</v>
      </c>
      <c r="F22" s="9">
        <f aca="true" t="shared" si="3" ref="F22:F41">100-(E22/D22*100)</f>
        <v>0</v>
      </c>
      <c r="G22" s="20">
        <v>460</v>
      </c>
      <c r="H22" s="6" t="s">
        <v>182</v>
      </c>
      <c r="I22" s="4"/>
    </row>
    <row r="23" spans="1:9" s="14" customFormat="1" ht="94.5">
      <c r="A23" s="1">
        <v>18</v>
      </c>
      <c r="B23" s="3" t="s">
        <v>26</v>
      </c>
      <c r="C23" s="6" t="s">
        <v>10</v>
      </c>
      <c r="D23" s="20">
        <v>1600</v>
      </c>
      <c r="E23" s="20">
        <v>1600</v>
      </c>
      <c r="F23" s="9">
        <f t="shared" si="3"/>
        <v>0</v>
      </c>
      <c r="G23" s="20">
        <v>1600</v>
      </c>
      <c r="H23" s="6" t="s">
        <v>184</v>
      </c>
      <c r="I23" s="4"/>
    </row>
    <row r="24" spans="1:9" s="14" customFormat="1" ht="94.5">
      <c r="A24" s="1">
        <v>19</v>
      </c>
      <c r="B24" s="3" t="s">
        <v>26</v>
      </c>
      <c r="C24" s="15" t="s">
        <v>128</v>
      </c>
      <c r="D24" s="20">
        <v>8500</v>
      </c>
      <c r="E24" s="20">
        <f>D24</f>
        <v>8500</v>
      </c>
      <c r="F24" s="9">
        <f t="shared" si="3"/>
        <v>0</v>
      </c>
      <c r="G24" s="20">
        <v>4000</v>
      </c>
      <c r="H24" s="6" t="s">
        <v>185</v>
      </c>
      <c r="I24" s="4"/>
    </row>
    <row r="25" spans="1:9" s="14" customFormat="1" ht="78.75">
      <c r="A25" s="1">
        <v>20</v>
      </c>
      <c r="B25" s="3" t="s">
        <v>26</v>
      </c>
      <c r="C25" s="6" t="s">
        <v>130</v>
      </c>
      <c r="D25" s="20">
        <v>2300</v>
      </c>
      <c r="E25" s="20">
        <f>D25</f>
        <v>2300</v>
      </c>
      <c r="F25" s="9">
        <f>100-(E25/D25*100)</f>
        <v>0</v>
      </c>
      <c r="G25" s="20">
        <v>2300</v>
      </c>
      <c r="H25" s="6" t="s">
        <v>186</v>
      </c>
      <c r="I25" s="4"/>
    </row>
    <row r="26" spans="1:9" s="14" customFormat="1" ht="78.75">
      <c r="A26" s="1">
        <v>21</v>
      </c>
      <c r="B26" s="3" t="s">
        <v>26</v>
      </c>
      <c r="C26" s="6" t="s">
        <v>142</v>
      </c>
      <c r="D26" s="20">
        <v>3700</v>
      </c>
      <c r="E26" s="20">
        <f>D26</f>
        <v>3700</v>
      </c>
      <c r="F26" s="9">
        <f>100-(E26/D26*100)</f>
        <v>0</v>
      </c>
      <c r="G26" s="20">
        <v>3700</v>
      </c>
      <c r="H26" s="6" t="s">
        <v>188</v>
      </c>
      <c r="I26" s="4"/>
    </row>
    <row r="27" spans="1:9" s="14" customFormat="1" ht="63">
      <c r="A27" s="1">
        <v>22</v>
      </c>
      <c r="B27" s="3" t="s">
        <v>37</v>
      </c>
      <c r="C27" s="6" t="s">
        <v>36</v>
      </c>
      <c r="D27" s="20">
        <v>2060</v>
      </c>
      <c r="E27" s="20">
        <f>D27</f>
        <v>2060</v>
      </c>
      <c r="F27" s="9">
        <f t="shared" si="3"/>
        <v>0</v>
      </c>
      <c r="G27" s="20">
        <v>2060</v>
      </c>
      <c r="H27" s="6" t="s">
        <v>192</v>
      </c>
      <c r="I27" s="18"/>
    </row>
    <row r="28" spans="1:9" s="14" customFormat="1" ht="78.75">
      <c r="A28" s="1">
        <v>23</v>
      </c>
      <c r="B28" s="3" t="s">
        <v>25</v>
      </c>
      <c r="C28" s="6" t="s">
        <v>5</v>
      </c>
      <c r="D28" s="7">
        <f>2982.054+1550-70.317</f>
        <v>4461.737</v>
      </c>
      <c r="E28" s="7">
        <f>D28-2911.737</f>
        <v>1550</v>
      </c>
      <c r="F28" s="9">
        <f t="shared" si="3"/>
        <v>65.26016661224094</v>
      </c>
      <c r="G28" s="20">
        <v>1550</v>
      </c>
      <c r="H28" s="6" t="s">
        <v>193</v>
      </c>
      <c r="I28" s="4" t="s">
        <v>4</v>
      </c>
    </row>
    <row r="29" spans="1:9" s="14" customFormat="1" ht="94.5">
      <c r="A29" s="1">
        <v>24</v>
      </c>
      <c r="B29" s="3" t="s">
        <v>25</v>
      </c>
      <c r="C29" s="6" t="s">
        <v>97</v>
      </c>
      <c r="D29" s="7">
        <v>6500</v>
      </c>
      <c r="E29" s="7">
        <f>D29</f>
        <v>6500</v>
      </c>
      <c r="F29" s="9">
        <f t="shared" si="3"/>
        <v>0</v>
      </c>
      <c r="G29" s="20">
        <v>4000</v>
      </c>
      <c r="H29" s="6" t="s">
        <v>194</v>
      </c>
      <c r="I29" s="4"/>
    </row>
    <row r="30" spans="1:9" s="14" customFormat="1" ht="78.75">
      <c r="A30" s="1">
        <v>25</v>
      </c>
      <c r="B30" s="3" t="s">
        <v>25</v>
      </c>
      <c r="C30" s="6" t="s">
        <v>100</v>
      </c>
      <c r="D30" s="7">
        <v>1900</v>
      </c>
      <c r="E30" s="7">
        <f aca="true" t="shared" si="4" ref="E30:E37">D30</f>
        <v>1900</v>
      </c>
      <c r="F30" s="9">
        <f t="shared" si="3"/>
        <v>0</v>
      </c>
      <c r="G30" s="20">
        <v>1900</v>
      </c>
      <c r="H30" s="6" t="s">
        <v>195</v>
      </c>
      <c r="I30" s="4"/>
    </row>
    <row r="31" spans="1:9" s="14" customFormat="1" ht="78.75">
      <c r="A31" s="1">
        <v>26</v>
      </c>
      <c r="B31" s="3" t="s">
        <v>25</v>
      </c>
      <c r="C31" s="33" t="s">
        <v>99</v>
      </c>
      <c r="D31" s="7">
        <v>2200</v>
      </c>
      <c r="E31" s="7">
        <f t="shared" si="4"/>
        <v>2200</v>
      </c>
      <c r="F31" s="9">
        <f t="shared" si="3"/>
        <v>0</v>
      </c>
      <c r="G31" s="20">
        <v>2200</v>
      </c>
      <c r="H31" s="6" t="s">
        <v>196</v>
      </c>
      <c r="I31" s="4"/>
    </row>
    <row r="32" spans="1:9" s="14" customFormat="1" ht="78.75">
      <c r="A32" s="1">
        <v>27</v>
      </c>
      <c r="B32" s="3" t="s">
        <v>25</v>
      </c>
      <c r="C32" s="6" t="s">
        <v>98</v>
      </c>
      <c r="D32" s="7">
        <v>1600</v>
      </c>
      <c r="E32" s="7">
        <f>D32</f>
        <v>1600</v>
      </c>
      <c r="F32" s="9">
        <f>100-(E32/D32*100)</f>
        <v>0</v>
      </c>
      <c r="G32" s="20">
        <v>1600</v>
      </c>
      <c r="H32" s="6" t="s">
        <v>197</v>
      </c>
      <c r="I32" s="4"/>
    </row>
    <row r="33" spans="1:9" s="14" customFormat="1" ht="63">
      <c r="A33" s="1">
        <v>28</v>
      </c>
      <c r="B33" s="3" t="s">
        <v>25</v>
      </c>
      <c r="C33" s="6" t="s">
        <v>101</v>
      </c>
      <c r="D33" s="7">
        <v>1490</v>
      </c>
      <c r="E33" s="7">
        <f t="shared" si="4"/>
        <v>1490</v>
      </c>
      <c r="F33" s="9">
        <f t="shared" si="3"/>
        <v>0</v>
      </c>
      <c r="G33" s="20">
        <v>1490</v>
      </c>
      <c r="H33" s="6" t="s">
        <v>198</v>
      </c>
      <c r="I33" s="4"/>
    </row>
    <row r="34" spans="1:9" s="14" customFormat="1" ht="78.75">
      <c r="A34" s="1">
        <v>29</v>
      </c>
      <c r="B34" s="3" t="s">
        <v>25</v>
      </c>
      <c r="C34" s="6" t="s">
        <v>102</v>
      </c>
      <c r="D34" s="7">
        <v>1100</v>
      </c>
      <c r="E34" s="7">
        <f t="shared" si="4"/>
        <v>1100</v>
      </c>
      <c r="F34" s="9">
        <f t="shared" si="3"/>
        <v>0</v>
      </c>
      <c r="G34" s="20">
        <v>1100</v>
      </c>
      <c r="H34" s="6" t="s">
        <v>199</v>
      </c>
      <c r="I34" s="4"/>
    </row>
    <row r="35" spans="1:9" s="14" customFormat="1" ht="63">
      <c r="A35" s="1">
        <v>30</v>
      </c>
      <c r="B35" s="3" t="s">
        <v>25</v>
      </c>
      <c r="C35" s="6" t="s">
        <v>105</v>
      </c>
      <c r="D35" s="7">
        <v>1190</v>
      </c>
      <c r="E35" s="7">
        <f t="shared" si="4"/>
        <v>1190</v>
      </c>
      <c r="F35" s="9">
        <f t="shared" si="3"/>
        <v>0</v>
      </c>
      <c r="G35" s="20">
        <v>1190</v>
      </c>
      <c r="H35" s="6" t="s">
        <v>198</v>
      </c>
      <c r="I35" s="4"/>
    </row>
    <row r="36" spans="1:9" s="14" customFormat="1" ht="63">
      <c r="A36" s="1">
        <v>31</v>
      </c>
      <c r="B36" s="3" t="s">
        <v>25</v>
      </c>
      <c r="C36" s="6" t="s">
        <v>104</v>
      </c>
      <c r="D36" s="7">
        <v>1620</v>
      </c>
      <c r="E36" s="7">
        <f t="shared" si="4"/>
        <v>1620</v>
      </c>
      <c r="F36" s="9">
        <f t="shared" si="3"/>
        <v>0</v>
      </c>
      <c r="G36" s="20">
        <v>1620</v>
      </c>
      <c r="H36" s="6" t="s">
        <v>200</v>
      </c>
      <c r="I36" s="4"/>
    </row>
    <row r="37" spans="1:9" s="14" customFormat="1" ht="78.75">
      <c r="A37" s="1">
        <v>32</v>
      </c>
      <c r="B37" s="3" t="s">
        <v>25</v>
      </c>
      <c r="C37" s="33" t="s">
        <v>103</v>
      </c>
      <c r="D37" s="7">
        <v>2000</v>
      </c>
      <c r="E37" s="7">
        <f t="shared" si="4"/>
        <v>2000</v>
      </c>
      <c r="F37" s="9">
        <f t="shared" si="3"/>
        <v>0</v>
      </c>
      <c r="G37" s="20">
        <v>2000</v>
      </c>
      <c r="H37" s="6" t="s">
        <v>201</v>
      </c>
      <c r="I37" s="4"/>
    </row>
    <row r="38" spans="1:9" s="14" customFormat="1" ht="94.5">
      <c r="A38" s="1">
        <v>33</v>
      </c>
      <c r="B38" s="3" t="s">
        <v>6</v>
      </c>
      <c r="C38" s="6" t="s">
        <v>8</v>
      </c>
      <c r="D38" s="7">
        <v>1600</v>
      </c>
      <c r="E38" s="7">
        <v>1600</v>
      </c>
      <c r="F38" s="9">
        <f t="shared" si="3"/>
        <v>0</v>
      </c>
      <c r="G38" s="20">
        <v>1600</v>
      </c>
      <c r="H38" s="6" t="s">
        <v>203</v>
      </c>
      <c r="I38" s="4"/>
    </row>
    <row r="39" spans="1:9" s="14" customFormat="1" ht="110.25">
      <c r="A39" s="1">
        <v>34</v>
      </c>
      <c r="B39" s="3" t="s">
        <v>27</v>
      </c>
      <c r="C39" s="6" t="s">
        <v>0</v>
      </c>
      <c r="D39" s="20">
        <v>3800</v>
      </c>
      <c r="E39" s="20">
        <f>D39</f>
        <v>3800</v>
      </c>
      <c r="F39" s="9">
        <f t="shared" si="3"/>
        <v>0</v>
      </c>
      <c r="G39" s="20">
        <v>3800</v>
      </c>
      <c r="H39" s="6" t="s">
        <v>204</v>
      </c>
      <c r="I39" s="4"/>
    </row>
    <row r="40" spans="1:9" s="14" customFormat="1" ht="110.25">
      <c r="A40" s="1">
        <v>35</v>
      </c>
      <c r="B40" s="3" t="s">
        <v>27</v>
      </c>
      <c r="C40" s="6" t="s">
        <v>1</v>
      </c>
      <c r="D40" s="20">
        <v>400</v>
      </c>
      <c r="E40" s="20">
        <f>D40</f>
        <v>400</v>
      </c>
      <c r="F40" s="9">
        <f t="shared" si="3"/>
        <v>0</v>
      </c>
      <c r="G40" s="20">
        <v>400</v>
      </c>
      <c r="H40" s="6" t="s">
        <v>205</v>
      </c>
      <c r="I40" s="4"/>
    </row>
    <row r="41" spans="1:9" s="14" customFormat="1" ht="94.5">
      <c r="A41" s="1">
        <v>36</v>
      </c>
      <c r="B41" s="3" t="s">
        <v>218</v>
      </c>
      <c r="C41" s="6" t="s">
        <v>114</v>
      </c>
      <c r="D41" s="20">
        <f>9459.785+7000-369.681</f>
        <v>16090.104</v>
      </c>
      <c r="E41" s="20">
        <f>D41-9090.104</f>
        <v>7000</v>
      </c>
      <c r="F41" s="9">
        <f t="shared" si="3"/>
        <v>56.49499841641794</v>
      </c>
      <c r="G41" s="20">
        <v>7000</v>
      </c>
      <c r="H41" s="6" t="s">
        <v>207</v>
      </c>
      <c r="I41" s="4"/>
    </row>
    <row r="44" spans="2:10" ht="40.5" customHeight="1">
      <c r="B44" s="149" t="s">
        <v>39</v>
      </c>
      <c r="C44" s="149"/>
      <c r="D44" s="149"/>
      <c r="E44" s="149"/>
      <c r="H44" s="18" t="s">
        <v>31</v>
      </c>
      <c r="J44" s="18"/>
    </row>
    <row r="45" spans="8:10" ht="15.75">
      <c r="H45" s="18"/>
      <c r="J45" s="18"/>
    </row>
    <row r="46" spans="1:3" ht="15.75">
      <c r="A46" s="18"/>
      <c r="C46" s="19" t="s">
        <v>32</v>
      </c>
    </row>
  </sheetData>
  <sheetProtection/>
  <mergeCells count="2">
    <mergeCell ref="A1:H1"/>
    <mergeCell ref="B44:E44"/>
  </mergeCells>
  <printOptions/>
  <pageMargins left="0.2755905511811024" right="0.2" top="0.3" bottom="0.23" header="0.27" footer="0.15748031496062992"/>
  <pageSetup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tabColor rgb="FFFFFF00"/>
  </sheetPr>
  <dimension ref="A1:J2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8" t="s">
        <v>57</v>
      </c>
      <c r="B1" s="148"/>
      <c r="C1" s="148"/>
      <c r="D1" s="148"/>
      <c r="E1" s="148"/>
      <c r="F1" s="148"/>
      <c r="G1" s="148"/>
      <c r="H1" s="14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SUM(D6:D20)</f>
        <v>39541.949</v>
      </c>
      <c r="E5" s="22">
        <f>SUM(E6:E20)</f>
        <v>16472.496</v>
      </c>
      <c r="F5" s="22" t="s">
        <v>30</v>
      </c>
      <c r="G5" s="22">
        <f>SUM(G6:G20)</f>
        <v>16472.496</v>
      </c>
      <c r="H5" s="10"/>
      <c r="J5" s="13" t="e">
        <f>I5-#REF!</f>
        <v>#REF!</v>
      </c>
    </row>
    <row r="6" spans="1:9" s="14" customFormat="1" ht="47.25">
      <c r="A6" s="1">
        <v>1</v>
      </c>
      <c r="B6" s="3" t="s">
        <v>23</v>
      </c>
      <c r="C6" s="15" t="s">
        <v>35</v>
      </c>
      <c r="D6" s="20">
        <v>14260.633</v>
      </c>
      <c r="E6" s="20">
        <f>D6-21.353-13957.996</f>
        <v>281.28400000000147</v>
      </c>
      <c r="F6" s="9">
        <f aca="true" t="shared" si="0" ref="F6:F11">100-(E6/D6*100)</f>
        <v>98.02754898748182</v>
      </c>
      <c r="G6" s="20">
        <v>281.284</v>
      </c>
      <c r="H6" s="11" t="s">
        <v>38</v>
      </c>
      <c r="I6" s="4"/>
    </row>
    <row r="7" spans="1:9" s="14" customFormat="1" ht="78.75">
      <c r="A7" s="1">
        <v>2</v>
      </c>
      <c r="B7" s="3" t="s">
        <v>23</v>
      </c>
      <c r="C7" s="6" t="s">
        <v>55</v>
      </c>
      <c r="D7" s="23">
        <v>191.212</v>
      </c>
      <c r="E7" s="23">
        <v>191.212</v>
      </c>
      <c r="F7" s="9">
        <f t="shared" si="0"/>
        <v>0</v>
      </c>
      <c r="G7" s="20">
        <v>191.212</v>
      </c>
      <c r="H7" s="6" t="s">
        <v>165</v>
      </c>
      <c r="I7" s="4"/>
    </row>
    <row r="8" spans="1:9" s="14" customFormat="1" ht="110.25">
      <c r="A8" s="1">
        <v>3</v>
      </c>
      <c r="B8" s="3" t="s">
        <v>23</v>
      </c>
      <c r="C8" s="6" t="s">
        <v>118</v>
      </c>
      <c r="D8" s="28">
        <v>700</v>
      </c>
      <c r="E8" s="28">
        <f>D8</f>
        <v>700</v>
      </c>
      <c r="F8" s="9">
        <f t="shared" si="0"/>
        <v>0</v>
      </c>
      <c r="G8" s="20">
        <v>700</v>
      </c>
      <c r="H8" s="24" t="s">
        <v>167</v>
      </c>
      <c r="I8" s="4"/>
    </row>
    <row r="9" spans="1:9" s="14" customFormat="1" ht="78.75">
      <c r="A9" s="1">
        <v>4</v>
      </c>
      <c r="B9" s="3" t="s">
        <v>23</v>
      </c>
      <c r="C9" s="6" t="s">
        <v>168</v>
      </c>
      <c r="D9" s="28">
        <v>1500</v>
      </c>
      <c r="E9" s="28">
        <f>D9</f>
        <v>1500</v>
      </c>
      <c r="F9" s="9">
        <f t="shared" si="0"/>
        <v>0</v>
      </c>
      <c r="G9" s="20">
        <v>1500</v>
      </c>
      <c r="H9" s="6" t="s">
        <v>170</v>
      </c>
      <c r="I9" s="4"/>
    </row>
    <row r="10" spans="1:9" s="14" customFormat="1" ht="78.75">
      <c r="A10" s="1">
        <v>5</v>
      </c>
      <c r="B10" s="3" t="s">
        <v>23</v>
      </c>
      <c r="C10" s="6" t="s">
        <v>169</v>
      </c>
      <c r="D10" s="28">
        <v>450</v>
      </c>
      <c r="E10" s="28">
        <f>D10</f>
        <v>450</v>
      </c>
      <c r="F10" s="29">
        <f t="shared" si="0"/>
        <v>0</v>
      </c>
      <c r="G10" s="23">
        <v>450</v>
      </c>
      <c r="H10" s="24" t="s">
        <v>167</v>
      </c>
      <c r="I10" s="4"/>
    </row>
    <row r="11" spans="1:9" s="14" customFormat="1" ht="78.75">
      <c r="A11" s="1">
        <v>6</v>
      </c>
      <c r="B11" s="3" t="s">
        <v>172</v>
      </c>
      <c r="C11" s="6" t="s">
        <v>124</v>
      </c>
      <c r="D11" s="28">
        <v>1500</v>
      </c>
      <c r="E11" s="28">
        <f>D11</f>
        <v>1500</v>
      </c>
      <c r="F11" s="29">
        <f t="shared" si="0"/>
        <v>0</v>
      </c>
      <c r="G11" s="23">
        <v>1500</v>
      </c>
      <c r="H11" s="24" t="s">
        <v>173</v>
      </c>
      <c r="I11" s="4"/>
    </row>
    <row r="12" spans="1:9" s="14" customFormat="1" ht="94.5">
      <c r="A12" s="1">
        <v>7</v>
      </c>
      <c r="B12" s="3" t="s">
        <v>6</v>
      </c>
      <c r="C12" s="6" t="s">
        <v>8</v>
      </c>
      <c r="D12" s="7">
        <v>1600</v>
      </c>
      <c r="E12" s="7">
        <v>1600</v>
      </c>
      <c r="F12" s="9">
        <f aca="true" t="shared" si="1" ref="F12:F20">100-(E12/D12*100)</f>
        <v>0</v>
      </c>
      <c r="G12" s="20">
        <v>1600</v>
      </c>
      <c r="H12" s="6" t="s">
        <v>203</v>
      </c>
      <c r="I12" s="4"/>
    </row>
    <row r="13" spans="1:9" s="14" customFormat="1" ht="94.5">
      <c r="A13" s="1">
        <v>8</v>
      </c>
      <c r="B13" s="3" t="s">
        <v>6</v>
      </c>
      <c r="C13" s="6" t="s">
        <v>110</v>
      </c>
      <c r="D13" s="7">
        <v>200</v>
      </c>
      <c r="E13" s="7">
        <f>D13</f>
        <v>200</v>
      </c>
      <c r="F13" s="9">
        <f t="shared" si="1"/>
        <v>0</v>
      </c>
      <c r="G13" s="20">
        <v>200</v>
      </c>
      <c r="H13" s="24" t="s">
        <v>202</v>
      </c>
      <c r="I13" s="4"/>
    </row>
    <row r="14" spans="1:9" s="14" customFormat="1" ht="47.25">
      <c r="A14" s="1">
        <v>9</v>
      </c>
      <c r="B14" s="3" t="s">
        <v>6</v>
      </c>
      <c r="C14" s="6" t="s">
        <v>125</v>
      </c>
      <c r="D14" s="7">
        <v>100</v>
      </c>
      <c r="E14" s="7">
        <f>D14</f>
        <v>100</v>
      </c>
      <c r="F14" s="9">
        <f t="shared" si="1"/>
        <v>0</v>
      </c>
      <c r="G14" s="20">
        <v>100</v>
      </c>
      <c r="H14" s="24" t="s">
        <v>202</v>
      </c>
      <c r="I14" s="4"/>
    </row>
    <row r="15" spans="1:9" s="14" customFormat="1" ht="78.75">
      <c r="A15" s="1">
        <v>10</v>
      </c>
      <c r="B15" s="3" t="s">
        <v>120</v>
      </c>
      <c r="C15" s="6" t="s">
        <v>123</v>
      </c>
      <c r="D15" s="7">
        <v>650</v>
      </c>
      <c r="E15" s="7">
        <f>D15</f>
        <v>650</v>
      </c>
      <c r="F15" s="9">
        <f t="shared" si="1"/>
        <v>0</v>
      </c>
      <c r="G15" s="20">
        <v>650</v>
      </c>
      <c r="H15" s="24" t="s">
        <v>202</v>
      </c>
      <c r="I15" s="4"/>
    </row>
    <row r="16" spans="1:9" s="14" customFormat="1" ht="94.5">
      <c r="A16" s="1">
        <v>11</v>
      </c>
      <c r="B16" s="3" t="s">
        <v>120</v>
      </c>
      <c r="C16" s="6" t="s">
        <v>122</v>
      </c>
      <c r="D16" s="7">
        <v>700</v>
      </c>
      <c r="E16" s="7">
        <f>D16</f>
        <v>700</v>
      </c>
      <c r="F16" s="9">
        <f t="shared" si="1"/>
        <v>0</v>
      </c>
      <c r="G16" s="20">
        <v>700</v>
      </c>
      <c r="H16" s="24" t="s">
        <v>202</v>
      </c>
      <c r="I16" s="4"/>
    </row>
    <row r="17" spans="1:9" s="14" customFormat="1" ht="78.75">
      <c r="A17" s="1">
        <v>12</v>
      </c>
      <c r="B17" s="3" t="s">
        <v>117</v>
      </c>
      <c r="C17" s="6" t="s">
        <v>119</v>
      </c>
      <c r="D17" s="7">
        <v>400</v>
      </c>
      <c r="E17" s="7">
        <f>D17</f>
        <v>400</v>
      </c>
      <c r="F17" s="9">
        <f t="shared" si="1"/>
        <v>0</v>
      </c>
      <c r="G17" s="20">
        <v>400</v>
      </c>
      <c r="H17" s="24" t="s">
        <v>202</v>
      </c>
      <c r="I17" s="4"/>
    </row>
    <row r="18" spans="1:9" s="14" customFormat="1" ht="94.5">
      <c r="A18" s="1">
        <v>13</v>
      </c>
      <c r="B18" s="3" t="s">
        <v>218</v>
      </c>
      <c r="C18" s="6" t="s">
        <v>114</v>
      </c>
      <c r="D18" s="20">
        <f>9459.785+7000-369.681</f>
        <v>16090.104</v>
      </c>
      <c r="E18" s="20">
        <f>D18-9090.104</f>
        <v>7000</v>
      </c>
      <c r="F18" s="9">
        <f t="shared" si="1"/>
        <v>56.49499841641794</v>
      </c>
      <c r="G18" s="20">
        <v>7000</v>
      </c>
      <c r="H18" s="6" t="s">
        <v>207</v>
      </c>
      <c r="I18" s="4"/>
    </row>
    <row r="19" spans="1:9" s="14" customFormat="1" ht="94.5">
      <c r="A19" s="1">
        <v>14</v>
      </c>
      <c r="B19" s="3" t="s">
        <v>218</v>
      </c>
      <c r="C19" s="6" t="s">
        <v>116</v>
      </c>
      <c r="D19" s="20">
        <v>600</v>
      </c>
      <c r="E19" s="20">
        <f>D19</f>
        <v>600</v>
      </c>
      <c r="F19" s="9">
        <f t="shared" si="1"/>
        <v>0</v>
      </c>
      <c r="G19" s="20">
        <v>600</v>
      </c>
      <c r="H19" s="6" t="s">
        <v>208</v>
      </c>
      <c r="I19" s="4"/>
    </row>
    <row r="20" spans="1:9" s="14" customFormat="1" ht="94.5">
      <c r="A20" s="1">
        <v>15</v>
      </c>
      <c r="B20" s="3" t="s">
        <v>218</v>
      </c>
      <c r="C20" s="6" t="s">
        <v>115</v>
      </c>
      <c r="D20" s="20">
        <v>600</v>
      </c>
      <c r="E20" s="20">
        <f>D20</f>
        <v>600</v>
      </c>
      <c r="F20" s="9">
        <f t="shared" si="1"/>
        <v>0</v>
      </c>
      <c r="G20" s="20">
        <v>600</v>
      </c>
      <c r="H20" s="6" t="s">
        <v>209</v>
      </c>
      <c r="I20" s="4"/>
    </row>
    <row r="23" spans="2:10" ht="40.5" customHeight="1">
      <c r="B23" s="149" t="s">
        <v>39</v>
      </c>
      <c r="C23" s="149"/>
      <c r="D23" s="149"/>
      <c r="E23" s="149"/>
      <c r="H23" s="18" t="s">
        <v>31</v>
      </c>
      <c r="J23" s="18"/>
    </row>
    <row r="24" spans="8:10" ht="15.75">
      <c r="H24" s="18"/>
      <c r="J24" s="18"/>
    </row>
    <row r="25" spans="1:3" ht="15.75">
      <c r="A25" s="18"/>
      <c r="C25" s="19"/>
    </row>
  </sheetData>
  <sheetProtection/>
  <mergeCells count="2">
    <mergeCell ref="A1:H1"/>
    <mergeCell ref="B23:E23"/>
  </mergeCells>
  <printOptions/>
  <pageMargins left="0.2755905511811024" right="0.2" top="0.3" bottom="0.23" header="0.27" footer="0.15748031496062992"/>
  <pageSetup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tabColor rgb="FFC00000"/>
  </sheetPr>
  <dimension ref="A1:J20"/>
  <sheetViews>
    <sheetView zoomScale="70" zoomScaleNormal="70" zoomScaleSheetLayoutView="50" zoomScalePageLayoutView="0" workbookViewId="0" topLeftCell="A3">
      <pane xSplit="3" ySplit="2" topLeftCell="D9"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5.875" style="4" customWidth="1"/>
    <col min="2" max="2" width="0.37109375" style="17" hidden="1"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48" t="s">
        <v>248</v>
      </c>
      <c r="B1" s="148"/>
      <c r="C1" s="148"/>
      <c r="D1" s="148"/>
      <c r="E1" s="148"/>
      <c r="F1" s="148"/>
      <c r="G1" s="148"/>
      <c r="H1" s="148"/>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2</v>
      </c>
      <c r="D4" s="3">
        <v>3</v>
      </c>
      <c r="E4" s="3">
        <v>4</v>
      </c>
      <c r="F4" s="3">
        <v>5</v>
      </c>
      <c r="G4" s="43">
        <v>6</v>
      </c>
      <c r="H4" s="3">
        <v>8</v>
      </c>
    </row>
    <row r="5" spans="1:10" ht="30.75" customHeight="1">
      <c r="A5" s="21"/>
      <c r="B5" s="21"/>
      <c r="C5" s="3" t="s">
        <v>13</v>
      </c>
      <c r="D5" s="22">
        <f>SUM(D6:D15)</f>
        <v>87087.514</v>
      </c>
      <c r="E5" s="22">
        <f>SUM(E6:E15)</f>
        <v>63820.885</v>
      </c>
      <c r="F5" s="22" t="s">
        <v>30</v>
      </c>
      <c r="G5" s="40">
        <f>SUM(G6:G15)</f>
        <v>30237.038</v>
      </c>
      <c r="H5" s="40" t="s">
        <v>30</v>
      </c>
      <c r="I5" s="38">
        <f>54459.3-G5</f>
        <v>24222.262000000002</v>
      </c>
      <c r="J5" s="13"/>
    </row>
    <row r="6" spans="1:9" s="14" customFormat="1" ht="157.5">
      <c r="A6" s="1">
        <v>1</v>
      </c>
      <c r="B6" s="3" t="s">
        <v>20</v>
      </c>
      <c r="C6" s="15" t="s">
        <v>34</v>
      </c>
      <c r="D6" s="20">
        <v>27620.08</v>
      </c>
      <c r="E6" s="20">
        <f>D6-79.166-2972.875</f>
        <v>24568.039</v>
      </c>
      <c r="F6" s="9">
        <f aca="true" t="shared" si="0" ref="F6:F15">100-(E6/D6*100)</f>
        <v>11.050080231483761</v>
      </c>
      <c r="G6" s="23">
        <f>8497.375-5000-1247.677</f>
        <v>2249.6980000000003</v>
      </c>
      <c r="H6" s="6" t="s">
        <v>228</v>
      </c>
      <c r="I6" s="7"/>
    </row>
    <row r="7" spans="1:9" s="14" customFormat="1" ht="157.5">
      <c r="A7" s="1">
        <v>2</v>
      </c>
      <c r="B7" s="3" t="s">
        <v>20</v>
      </c>
      <c r="C7" s="6" t="s">
        <v>21</v>
      </c>
      <c r="D7" s="20">
        <v>7706.785</v>
      </c>
      <c r="E7" s="20">
        <f>D7-95.619-4404.381</f>
        <v>3206.785</v>
      </c>
      <c r="F7" s="9">
        <f t="shared" si="0"/>
        <v>58.390106899310155</v>
      </c>
      <c r="G7" s="23">
        <v>3206.785</v>
      </c>
      <c r="H7" s="6" t="s">
        <v>48</v>
      </c>
      <c r="I7" s="7"/>
    </row>
    <row r="8" spans="1:9" s="14" customFormat="1" ht="157.5">
      <c r="A8" s="1">
        <v>3</v>
      </c>
      <c r="B8" s="3" t="s">
        <v>20</v>
      </c>
      <c r="C8" s="6" t="s">
        <v>85</v>
      </c>
      <c r="D8" s="20">
        <v>2865.725</v>
      </c>
      <c r="E8" s="20">
        <f>D8-88.6</f>
        <v>2777.125</v>
      </c>
      <c r="F8" s="9">
        <f t="shared" si="0"/>
        <v>3.0917132662764146</v>
      </c>
      <c r="G8" s="23">
        <v>2777.125</v>
      </c>
      <c r="H8" s="6" t="s">
        <v>240</v>
      </c>
      <c r="I8" s="7"/>
    </row>
    <row r="9" spans="1:9" s="14" customFormat="1" ht="157.5">
      <c r="A9" s="1">
        <v>4</v>
      </c>
      <c r="B9" s="3" t="s">
        <v>28</v>
      </c>
      <c r="C9" s="6" t="s">
        <v>62</v>
      </c>
      <c r="D9" s="20">
        <v>14117.909</v>
      </c>
      <c r="E9" s="20">
        <f>D9-2770</f>
        <v>11347.909</v>
      </c>
      <c r="F9" s="9">
        <f t="shared" si="0"/>
        <v>19.62046929187602</v>
      </c>
      <c r="G9" s="23">
        <f>4000-1000</f>
        <v>3000</v>
      </c>
      <c r="H9" s="6" t="s">
        <v>229</v>
      </c>
      <c r="I9" s="7"/>
    </row>
    <row r="10" spans="1:9" s="14" customFormat="1" ht="157.5">
      <c r="A10" s="1">
        <v>5</v>
      </c>
      <c r="B10" s="3" t="s">
        <v>28</v>
      </c>
      <c r="C10" s="15" t="s">
        <v>249</v>
      </c>
      <c r="D10" s="23">
        <v>88.383</v>
      </c>
      <c r="E10" s="23">
        <f>D10-5.32</f>
        <v>83.06299999999999</v>
      </c>
      <c r="F10" s="9">
        <f t="shared" si="0"/>
        <v>6.019257096953041</v>
      </c>
      <c r="G10" s="23">
        <v>83.063</v>
      </c>
      <c r="H10" s="11" t="s">
        <v>220</v>
      </c>
      <c r="I10" s="32"/>
    </row>
    <row r="11" spans="1:9" s="14" customFormat="1" ht="157.5">
      <c r="A11" s="1">
        <v>6</v>
      </c>
      <c r="B11" s="3" t="s">
        <v>40</v>
      </c>
      <c r="C11" s="6" t="s">
        <v>230</v>
      </c>
      <c r="D11" s="7">
        <v>6356.36</v>
      </c>
      <c r="E11" s="7">
        <f>D11-238.796</f>
        <v>6117.563999999999</v>
      </c>
      <c r="F11" s="9">
        <f t="shared" si="0"/>
        <v>3.756804208698057</v>
      </c>
      <c r="G11" s="23">
        <v>3200</v>
      </c>
      <c r="H11" s="6" t="s">
        <v>231</v>
      </c>
      <c r="I11" s="4"/>
    </row>
    <row r="12" spans="1:9" s="14" customFormat="1" ht="157.5">
      <c r="A12" s="1">
        <v>7</v>
      </c>
      <c r="B12" s="3" t="s">
        <v>44</v>
      </c>
      <c r="C12" s="6" t="s">
        <v>45</v>
      </c>
      <c r="D12" s="20">
        <v>2779.035</v>
      </c>
      <c r="E12" s="20">
        <f>D12-317.247-24.521</f>
        <v>2437.267</v>
      </c>
      <c r="F12" s="9">
        <f t="shared" si="0"/>
        <v>12.298081888137432</v>
      </c>
      <c r="G12" s="23">
        <v>2437.267</v>
      </c>
      <c r="H12" s="6" t="s">
        <v>46</v>
      </c>
      <c r="I12" s="18"/>
    </row>
    <row r="13" spans="1:9" s="14" customFormat="1" ht="157.5">
      <c r="A13" s="1">
        <v>8</v>
      </c>
      <c r="B13" s="3" t="s">
        <v>218</v>
      </c>
      <c r="C13" s="6" t="s">
        <v>114</v>
      </c>
      <c r="D13" s="20">
        <f>9459.785+7000-369.681</f>
        <v>16090.104</v>
      </c>
      <c r="E13" s="20">
        <f>D13-9090.104</f>
        <v>7000</v>
      </c>
      <c r="F13" s="9">
        <f t="shared" si="0"/>
        <v>56.49499841641794</v>
      </c>
      <c r="G13" s="23">
        <v>7000</v>
      </c>
      <c r="H13" s="6" t="s">
        <v>239</v>
      </c>
      <c r="I13" s="4"/>
    </row>
    <row r="14" spans="1:9" s="14" customFormat="1" ht="157.5">
      <c r="A14" s="1">
        <v>9</v>
      </c>
      <c r="B14" s="3" t="s">
        <v>27</v>
      </c>
      <c r="C14" s="6" t="s">
        <v>61</v>
      </c>
      <c r="D14" s="20">
        <v>4691.8</v>
      </c>
      <c r="E14" s="20">
        <f>4691.8-1520</f>
        <v>3171.8</v>
      </c>
      <c r="F14" s="9">
        <f t="shared" si="0"/>
        <v>32.396947866490464</v>
      </c>
      <c r="G14" s="23">
        <v>3171.8</v>
      </c>
      <c r="H14" s="6" t="s">
        <v>47</v>
      </c>
      <c r="I14" s="4"/>
    </row>
    <row r="15" spans="1:9" s="14" customFormat="1" ht="157.5">
      <c r="A15" s="1">
        <v>10</v>
      </c>
      <c r="B15" s="3" t="s">
        <v>24</v>
      </c>
      <c r="C15" s="6" t="s">
        <v>63</v>
      </c>
      <c r="D15" s="20">
        <v>4771.333</v>
      </c>
      <c r="E15" s="20">
        <f>D15-1660</f>
        <v>3111.3329999999996</v>
      </c>
      <c r="F15" s="9">
        <f t="shared" si="0"/>
        <v>34.79111602564734</v>
      </c>
      <c r="G15" s="23">
        <v>3111.3</v>
      </c>
      <c r="H15" s="11" t="s">
        <v>73</v>
      </c>
      <c r="I15" s="4"/>
    </row>
    <row r="18" spans="2:10" ht="40.5" customHeight="1">
      <c r="B18" s="149" t="s">
        <v>39</v>
      </c>
      <c r="C18" s="149"/>
      <c r="D18" s="149"/>
      <c r="E18" s="149"/>
      <c r="H18" s="18" t="s">
        <v>31</v>
      </c>
      <c r="J18" s="18"/>
    </row>
    <row r="19" spans="8:10" ht="15.75">
      <c r="H19" s="18"/>
      <c r="J19" s="18"/>
    </row>
    <row r="20" spans="1:3" ht="15.75">
      <c r="A20" s="18"/>
      <c r="C20" s="19" t="s">
        <v>32</v>
      </c>
    </row>
  </sheetData>
  <sheetProtection/>
  <mergeCells count="2">
    <mergeCell ref="A1:H1"/>
    <mergeCell ref="B18:E18"/>
  </mergeCells>
  <printOptions/>
  <pageMargins left="0.2755905511811024" right="0.2" top="0.3" bottom="0.23" header="0.27" footer="0.15748031496062992"/>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indexed="26"/>
  </sheetPr>
  <dimension ref="A1:J39"/>
  <sheetViews>
    <sheetView zoomScale="70" zoomScaleNormal="70" zoomScaleSheetLayoutView="50" zoomScalePageLayoutView="0" workbookViewId="0" topLeftCell="A3">
      <pane xSplit="3" ySplit="2" topLeftCell="D2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8" t="s">
        <v>57</v>
      </c>
      <c r="B1" s="148"/>
      <c r="C1" s="148"/>
      <c r="D1" s="148"/>
      <c r="E1" s="148"/>
      <c r="F1" s="148"/>
      <c r="G1" s="148"/>
      <c r="H1" s="14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SUM(D6:D35)</f>
        <v>16733.785</v>
      </c>
      <c r="E5" s="22">
        <f>SUM(E6:E35)</f>
        <v>11404.451000000001</v>
      </c>
      <c r="F5" s="22" t="s">
        <v>30</v>
      </c>
      <c r="G5" s="22">
        <f>SUM(G6:G35)</f>
        <v>9690.891</v>
      </c>
      <c r="H5" s="10"/>
      <c r="J5" s="13" t="e">
        <f>I5-#REF!</f>
        <v>#REF!</v>
      </c>
    </row>
    <row r="6" spans="1:9" s="14" customFormat="1" ht="110.25">
      <c r="A6" s="1">
        <v>1</v>
      </c>
      <c r="B6" s="3" t="s">
        <v>19</v>
      </c>
      <c r="C6" s="6" t="s">
        <v>41</v>
      </c>
      <c r="D6" s="20">
        <v>1545.172</v>
      </c>
      <c r="E6" s="20">
        <f>D6-18.89</f>
        <v>1526.282</v>
      </c>
      <c r="F6" s="9">
        <f>100-(E6/D6*100)</f>
        <v>1.2225176226336032</v>
      </c>
      <c r="G6" s="20">
        <v>70</v>
      </c>
      <c r="H6" s="6" t="s">
        <v>145</v>
      </c>
      <c r="I6" s="7"/>
    </row>
    <row r="7" spans="1:9" s="14" customFormat="1" ht="78.75">
      <c r="A7" s="1">
        <v>2</v>
      </c>
      <c r="B7" s="3" t="s">
        <v>19</v>
      </c>
      <c r="C7" s="6" t="s">
        <v>71</v>
      </c>
      <c r="D7" s="20">
        <v>867.722</v>
      </c>
      <c r="E7" s="20">
        <f>D7-560.444</f>
        <v>307.278</v>
      </c>
      <c r="F7" s="9">
        <f>100-(E7/D7*100)</f>
        <v>64.58796711389132</v>
      </c>
      <c r="G7" s="20">
        <v>50</v>
      </c>
      <c r="H7" s="24" t="s">
        <v>43</v>
      </c>
      <c r="I7" s="7"/>
    </row>
    <row r="8" spans="1:9" s="14" customFormat="1" ht="110.25">
      <c r="A8" s="1">
        <v>3</v>
      </c>
      <c r="B8" s="3" t="s">
        <v>20</v>
      </c>
      <c r="C8" s="6" t="s">
        <v>83</v>
      </c>
      <c r="D8" s="20">
        <v>5000</v>
      </c>
      <c r="E8" s="20">
        <v>250</v>
      </c>
      <c r="F8" s="9">
        <f>100-(E8/D8*100)</f>
        <v>95</v>
      </c>
      <c r="G8" s="20">
        <v>250</v>
      </c>
      <c r="H8" s="25" t="s">
        <v>154</v>
      </c>
      <c r="I8" s="7"/>
    </row>
    <row r="9" spans="1:9" s="14" customFormat="1" ht="141.75">
      <c r="A9" s="1">
        <v>4</v>
      </c>
      <c r="B9" s="3" t="s">
        <v>20</v>
      </c>
      <c r="C9" s="6" t="s">
        <v>95</v>
      </c>
      <c r="D9" s="7">
        <v>300</v>
      </c>
      <c r="E9" s="7">
        <v>300</v>
      </c>
      <c r="F9" s="9">
        <f>100-(E9/D9*100)</f>
        <v>0</v>
      </c>
      <c r="G9" s="20">
        <v>300</v>
      </c>
      <c r="H9" s="25" t="s">
        <v>155</v>
      </c>
      <c r="I9" s="4"/>
    </row>
    <row r="10" spans="1:9" s="14" customFormat="1" ht="94.5">
      <c r="A10" s="1">
        <v>5</v>
      </c>
      <c r="B10" s="3" t="s">
        <v>28</v>
      </c>
      <c r="C10" s="15" t="s">
        <v>140</v>
      </c>
      <c r="D10" s="20">
        <v>800</v>
      </c>
      <c r="E10" s="23">
        <f>D10</f>
        <v>800</v>
      </c>
      <c r="F10" s="9">
        <f aca="true" t="shared" si="0" ref="F10:F19">100-(E10/D10*100)</f>
        <v>0</v>
      </c>
      <c r="G10" s="23">
        <v>800</v>
      </c>
      <c r="H10" s="26" t="s">
        <v>121</v>
      </c>
      <c r="I10" s="32"/>
    </row>
    <row r="11" spans="1:9" s="14" customFormat="1" ht="78.75">
      <c r="A11" s="1">
        <v>6</v>
      </c>
      <c r="B11" s="3" t="s">
        <v>28</v>
      </c>
      <c r="C11" s="15" t="s">
        <v>141</v>
      </c>
      <c r="D11" s="23">
        <v>314.5</v>
      </c>
      <c r="E11" s="20">
        <f>D11</f>
        <v>314.5</v>
      </c>
      <c r="F11" s="9">
        <f t="shared" si="0"/>
        <v>0</v>
      </c>
      <c r="G11" s="23">
        <v>314.5</v>
      </c>
      <c r="H11" s="11" t="s">
        <v>162</v>
      </c>
      <c r="I11" s="32"/>
    </row>
    <row r="12" spans="1:9" s="14" customFormat="1" ht="78.75">
      <c r="A12" s="1">
        <v>7</v>
      </c>
      <c r="B12" s="3" t="s">
        <v>23</v>
      </c>
      <c r="C12" s="6" t="s">
        <v>51</v>
      </c>
      <c r="D12" s="23">
        <v>120</v>
      </c>
      <c r="E12" s="23">
        <v>120</v>
      </c>
      <c r="F12" s="9">
        <f t="shared" si="0"/>
        <v>0</v>
      </c>
      <c r="G12" s="20">
        <v>120</v>
      </c>
      <c r="H12" s="6" t="s">
        <v>164</v>
      </c>
      <c r="I12" s="4"/>
    </row>
    <row r="13" spans="1:9" s="14" customFormat="1" ht="78.75">
      <c r="A13" s="1">
        <v>8</v>
      </c>
      <c r="B13" s="3" t="s">
        <v>23</v>
      </c>
      <c r="C13" s="6" t="s">
        <v>55</v>
      </c>
      <c r="D13" s="23">
        <v>191.212</v>
      </c>
      <c r="E13" s="23">
        <v>191.212</v>
      </c>
      <c r="F13" s="9">
        <f t="shared" si="0"/>
        <v>0</v>
      </c>
      <c r="G13" s="20">
        <v>191.212</v>
      </c>
      <c r="H13" s="6" t="s">
        <v>165</v>
      </c>
      <c r="I13" s="4"/>
    </row>
    <row r="14" spans="1:9" s="14" customFormat="1" ht="78.75">
      <c r="A14" s="1">
        <v>9</v>
      </c>
      <c r="B14" s="3" t="s">
        <v>23</v>
      </c>
      <c r="C14" s="6" t="s">
        <v>54</v>
      </c>
      <c r="D14" s="23">
        <v>250</v>
      </c>
      <c r="E14" s="23">
        <f>D14</f>
        <v>250</v>
      </c>
      <c r="F14" s="9">
        <f t="shared" si="0"/>
        <v>0</v>
      </c>
      <c r="G14" s="20">
        <v>250</v>
      </c>
      <c r="H14" s="6" t="s">
        <v>171</v>
      </c>
      <c r="I14" s="4"/>
    </row>
    <row r="15" spans="1:9" s="14" customFormat="1" ht="141.75">
      <c r="A15" s="1">
        <v>10</v>
      </c>
      <c r="B15" s="3" t="s">
        <v>23</v>
      </c>
      <c r="C15" s="6" t="s">
        <v>7</v>
      </c>
      <c r="D15" s="28">
        <v>185.179</v>
      </c>
      <c r="E15" s="28">
        <v>185.179</v>
      </c>
      <c r="F15" s="9">
        <f t="shared" si="0"/>
        <v>0</v>
      </c>
      <c r="G15" s="20">
        <v>185.179</v>
      </c>
      <c r="H15" s="6" t="s">
        <v>166</v>
      </c>
      <c r="I15" s="4"/>
    </row>
    <row r="16" spans="1:9" s="14" customFormat="1" ht="110.25">
      <c r="A16" s="1">
        <v>11</v>
      </c>
      <c r="B16" s="3" t="s">
        <v>23</v>
      </c>
      <c r="C16" s="6" t="s">
        <v>118</v>
      </c>
      <c r="D16" s="28">
        <v>700</v>
      </c>
      <c r="E16" s="28">
        <f aca="true" t="shared" si="1" ref="E16:E22">D16</f>
        <v>700</v>
      </c>
      <c r="F16" s="9">
        <f t="shared" si="0"/>
        <v>0</v>
      </c>
      <c r="G16" s="20">
        <v>700</v>
      </c>
      <c r="H16" s="24" t="s">
        <v>167</v>
      </c>
      <c r="I16" s="4"/>
    </row>
    <row r="17" spans="1:9" s="14" customFormat="1" ht="78.75">
      <c r="A17" s="1">
        <v>12</v>
      </c>
      <c r="B17" s="3" t="s">
        <v>23</v>
      </c>
      <c r="C17" s="6" t="s">
        <v>169</v>
      </c>
      <c r="D17" s="28">
        <v>450</v>
      </c>
      <c r="E17" s="28">
        <f t="shared" si="1"/>
        <v>450</v>
      </c>
      <c r="F17" s="29">
        <f t="shared" si="0"/>
        <v>0</v>
      </c>
      <c r="G17" s="23">
        <v>450</v>
      </c>
      <c r="H17" s="24" t="s">
        <v>167</v>
      </c>
      <c r="I17" s="4"/>
    </row>
    <row r="18" spans="1:9" s="14" customFormat="1" ht="126">
      <c r="A18" s="1">
        <v>13</v>
      </c>
      <c r="B18" s="3" t="s">
        <v>86</v>
      </c>
      <c r="C18" s="6" t="s">
        <v>93</v>
      </c>
      <c r="D18" s="7">
        <v>500</v>
      </c>
      <c r="E18" s="7">
        <f t="shared" si="1"/>
        <v>500</v>
      </c>
      <c r="F18" s="9">
        <f t="shared" si="0"/>
        <v>0</v>
      </c>
      <c r="G18" s="20">
        <v>500</v>
      </c>
      <c r="H18" s="6" t="s">
        <v>177</v>
      </c>
      <c r="I18" s="4"/>
    </row>
    <row r="19" spans="1:9" s="14" customFormat="1" ht="63">
      <c r="A19" s="1">
        <v>14</v>
      </c>
      <c r="B19" s="3" t="s">
        <v>86</v>
      </c>
      <c r="C19" s="6" t="s">
        <v>96</v>
      </c>
      <c r="D19" s="7">
        <v>250</v>
      </c>
      <c r="E19" s="7">
        <f t="shared" si="1"/>
        <v>250</v>
      </c>
      <c r="F19" s="9">
        <f t="shared" si="0"/>
        <v>0</v>
      </c>
      <c r="G19" s="20">
        <v>250</v>
      </c>
      <c r="H19" s="6" t="s">
        <v>178</v>
      </c>
      <c r="I19" s="4"/>
    </row>
    <row r="20" spans="1:9" s="14" customFormat="1" ht="94.5">
      <c r="A20" s="1">
        <v>15</v>
      </c>
      <c r="B20" s="3" t="s">
        <v>40</v>
      </c>
      <c r="C20" s="6" t="s">
        <v>3</v>
      </c>
      <c r="D20" s="7">
        <v>240</v>
      </c>
      <c r="E20" s="7">
        <f t="shared" si="1"/>
        <v>240</v>
      </c>
      <c r="F20" s="9">
        <v>0</v>
      </c>
      <c r="G20" s="20">
        <v>240</v>
      </c>
      <c r="H20" s="6" t="s">
        <v>210</v>
      </c>
      <c r="I20" s="4"/>
    </row>
    <row r="21" spans="1:9" s="14" customFormat="1" ht="78.75">
      <c r="A21" s="1">
        <v>16</v>
      </c>
      <c r="B21" s="3" t="s">
        <v>111</v>
      </c>
      <c r="C21" s="6" t="s">
        <v>112</v>
      </c>
      <c r="D21" s="23">
        <v>300</v>
      </c>
      <c r="E21" s="23">
        <f t="shared" si="1"/>
        <v>300</v>
      </c>
      <c r="F21" s="29">
        <v>0</v>
      </c>
      <c r="G21" s="23">
        <v>300</v>
      </c>
      <c r="H21" s="24" t="s">
        <v>167</v>
      </c>
      <c r="I21" s="18"/>
    </row>
    <row r="22" spans="1:9" s="14" customFormat="1" ht="78.75">
      <c r="A22" s="1">
        <v>17</v>
      </c>
      <c r="B22" s="3" t="s">
        <v>44</v>
      </c>
      <c r="C22" s="6" t="s">
        <v>113</v>
      </c>
      <c r="D22" s="23">
        <v>150</v>
      </c>
      <c r="E22" s="23">
        <f t="shared" si="1"/>
        <v>150</v>
      </c>
      <c r="F22" s="29">
        <v>0</v>
      </c>
      <c r="G22" s="23">
        <v>150</v>
      </c>
      <c r="H22" s="24" t="s">
        <v>167</v>
      </c>
      <c r="I22" s="18"/>
    </row>
    <row r="23" spans="1:9" s="14" customFormat="1" ht="78.75">
      <c r="A23" s="1">
        <v>18</v>
      </c>
      <c r="B23" s="3" t="s">
        <v>2</v>
      </c>
      <c r="C23" s="6" t="s">
        <v>52</v>
      </c>
      <c r="D23" s="20">
        <v>100</v>
      </c>
      <c r="E23" s="20">
        <v>100</v>
      </c>
      <c r="F23" s="9">
        <f aca="true" t="shared" si="2" ref="F23:F35">100-(E23/D23*100)</f>
        <v>0</v>
      </c>
      <c r="G23" s="20">
        <v>100</v>
      </c>
      <c r="H23" s="6" t="s">
        <v>183</v>
      </c>
      <c r="I23" s="4"/>
    </row>
    <row r="24" spans="1:9" s="14" customFormat="1" ht="78.75">
      <c r="A24" s="1">
        <v>19</v>
      </c>
      <c r="B24" s="3" t="s">
        <v>26</v>
      </c>
      <c r="C24" s="6" t="s">
        <v>137</v>
      </c>
      <c r="D24" s="20">
        <v>30</v>
      </c>
      <c r="E24" s="20">
        <f aca="true" t="shared" si="3" ref="E24:E35">D24</f>
        <v>30</v>
      </c>
      <c r="F24" s="9">
        <f>100-(E24/D24*100)</f>
        <v>0</v>
      </c>
      <c r="G24" s="20">
        <v>30</v>
      </c>
      <c r="H24" s="6" t="s">
        <v>187</v>
      </c>
      <c r="I24" s="4"/>
    </row>
    <row r="25" spans="1:9" s="14" customFormat="1" ht="94.5">
      <c r="A25" s="1">
        <v>20</v>
      </c>
      <c r="B25" s="3" t="s">
        <v>26</v>
      </c>
      <c r="C25" s="6" t="s">
        <v>138</v>
      </c>
      <c r="D25" s="20">
        <v>30</v>
      </c>
      <c r="E25" s="20">
        <f t="shared" si="3"/>
        <v>30</v>
      </c>
      <c r="F25" s="9">
        <f>100-(E25/D25*100)</f>
        <v>0</v>
      </c>
      <c r="G25" s="20">
        <v>30</v>
      </c>
      <c r="H25" s="24" t="s">
        <v>121</v>
      </c>
      <c r="I25" s="4"/>
    </row>
    <row r="26" spans="1:9" s="14" customFormat="1" ht="78.75">
      <c r="A26" s="1">
        <v>21</v>
      </c>
      <c r="B26" s="3" t="s">
        <v>26</v>
      </c>
      <c r="C26" s="6" t="s">
        <v>139</v>
      </c>
      <c r="D26" s="20">
        <v>40</v>
      </c>
      <c r="E26" s="20">
        <f t="shared" si="3"/>
        <v>40</v>
      </c>
      <c r="F26" s="9">
        <f>100-(E26/D26*100)</f>
        <v>0</v>
      </c>
      <c r="G26" s="20">
        <v>40</v>
      </c>
      <c r="H26" s="24" t="s">
        <v>121</v>
      </c>
      <c r="I26" s="4"/>
    </row>
    <row r="27" spans="1:9" s="14" customFormat="1" ht="78.75">
      <c r="A27" s="1">
        <v>22</v>
      </c>
      <c r="B27" s="3" t="s">
        <v>133</v>
      </c>
      <c r="C27" s="6" t="s">
        <v>134</v>
      </c>
      <c r="D27" s="20">
        <v>800</v>
      </c>
      <c r="E27" s="20">
        <f t="shared" si="3"/>
        <v>800</v>
      </c>
      <c r="F27" s="9">
        <f t="shared" si="2"/>
        <v>0</v>
      </c>
      <c r="G27" s="20">
        <v>800</v>
      </c>
      <c r="H27" s="6" t="s">
        <v>191</v>
      </c>
      <c r="I27" s="18"/>
    </row>
    <row r="28" spans="1:9" s="14" customFormat="1" ht="94.5">
      <c r="A28" s="1">
        <v>23</v>
      </c>
      <c r="B28" s="3" t="s">
        <v>25</v>
      </c>
      <c r="C28" s="6" t="s">
        <v>106</v>
      </c>
      <c r="D28" s="7">
        <v>320</v>
      </c>
      <c r="E28" s="7">
        <f t="shared" si="3"/>
        <v>320</v>
      </c>
      <c r="F28" s="9">
        <f t="shared" si="2"/>
        <v>0</v>
      </c>
      <c r="G28" s="20">
        <v>320</v>
      </c>
      <c r="H28" s="24" t="s">
        <v>202</v>
      </c>
      <c r="I28" s="4"/>
    </row>
    <row r="29" spans="1:9" s="14" customFormat="1" ht="94.5">
      <c r="A29" s="1">
        <v>24</v>
      </c>
      <c r="B29" s="3" t="s">
        <v>6</v>
      </c>
      <c r="C29" s="6" t="s">
        <v>110</v>
      </c>
      <c r="D29" s="7">
        <v>200</v>
      </c>
      <c r="E29" s="7">
        <f t="shared" si="3"/>
        <v>200</v>
      </c>
      <c r="F29" s="9">
        <f t="shared" si="2"/>
        <v>0</v>
      </c>
      <c r="G29" s="20">
        <v>200</v>
      </c>
      <c r="H29" s="24" t="s">
        <v>202</v>
      </c>
      <c r="I29" s="4"/>
    </row>
    <row r="30" spans="1:9" s="14" customFormat="1" ht="47.25">
      <c r="A30" s="1">
        <v>25</v>
      </c>
      <c r="B30" s="3" t="s">
        <v>6</v>
      </c>
      <c r="C30" s="6" t="s">
        <v>125</v>
      </c>
      <c r="D30" s="7">
        <v>100</v>
      </c>
      <c r="E30" s="7">
        <f t="shared" si="3"/>
        <v>100</v>
      </c>
      <c r="F30" s="9">
        <f t="shared" si="2"/>
        <v>0</v>
      </c>
      <c r="G30" s="20">
        <v>100</v>
      </c>
      <c r="H30" s="24" t="s">
        <v>202</v>
      </c>
      <c r="I30" s="4"/>
    </row>
    <row r="31" spans="1:9" s="14" customFormat="1" ht="78.75">
      <c r="A31" s="1">
        <v>26</v>
      </c>
      <c r="B31" s="3" t="s">
        <v>120</v>
      </c>
      <c r="C31" s="6" t="s">
        <v>123</v>
      </c>
      <c r="D31" s="7">
        <v>650</v>
      </c>
      <c r="E31" s="7">
        <f t="shared" si="3"/>
        <v>650</v>
      </c>
      <c r="F31" s="9">
        <f t="shared" si="2"/>
        <v>0</v>
      </c>
      <c r="G31" s="20">
        <v>650</v>
      </c>
      <c r="H31" s="24" t="s">
        <v>202</v>
      </c>
      <c r="I31" s="4"/>
    </row>
    <row r="32" spans="1:9" s="14" customFormat="1" ht="94.5">
      <c r="A32" s="1">
        <v>27</v>
      </c>
      <c r="B32" s="3" t="s">
        <v>120</v>
      </c>
      <c r="C32" s="6" t="s">
        <v>122</v>
      </c>
      <c r="D32" s="7">
        <v>700</v>
      </c>
      <c r="E32" s="7">
        <f t="shared" si="3"/>
        <v>700</v>
      </c>
      <c r="F32" s="9">
        <f t="shared" si="2"/>
        <v>0</v>
      </c>
      <c r="G32" s="20">
        <v>700</v>
      </c>
      <c r="H32" s="24" t="s">
        <v>202</v>
      </c>
      <c r="I32" s="4"/>
    </row>
    <row r="33" spans="1:9" s="14" customFormat="1" ht="78.75">
      <c r="A33" s="1">
        <v>28</v>
      </c>
      <c r="B33" s="3" t="s">
        <v>117</v>
      </c>
      <c r="C33" s="6" t="s">
        <v>119</v>
      </c>
      <c r="D33" s="7">
        <v>400</v>
      </c>
      <c r="E33" s="7">
        <f t="shared" si="3"/>
        <v>400</v>
      </c>
      <c r="F33" s="9">
        <f t="shared" si="2"/>
        <v>0</v>
      </c>
      <c r="G33" s="20">
        <v>400</v>
      </c>
      <c r="H33" s="24" t="s">
        <v>202</v>
      </c>
      <c r="I33" s="4"/>
    </row>
    <row r="34" spans="1:9" s="14" customFormat="1" ht="94.5">
      <c r="A34" s="1">
        <v>29</v>
      </c>
      <c r="B34" s="3" t="s">
        <v>218</v>
      </c>
      <c r="C34" s="6" t="s">
        <v>116</v>
      </c>
      <c r="D34" s="20">
        <v>600</v>
      </c>
      <c r="E34" s="20">
        <f t="shared" si="3"/>
        <v>600</v>
      </c>
      <c r="F34" s="9">
        <f t="shared" si="2"/>
        <v>0</v>
      </c>
      <c r="G34" s="20">
        <v>600</v>
      </c>
      <c r="H34" s="6" t="s">
        <v>208</v>
      </c>
      <c r="I34" s="4"/>
    </row>
    <row r="35" spans="1:9" s="14" customFormat="1" ht="94.5">
      <c r="A35" s="1">
        <v>30</v>
      </c>
      <c r="B35" s="3" t="s">
        <v>218</v>
      </c>
      <c r="C35" s="6" t="s">
        <v>115</v>
      </c>
      <c r="D35" s="20">
        <v>600</v>
      </c>
      <c r="E35" s="20">
        <f t="shared" si="3"/>
        <v>600</v>
      </c>
      <c r="F35" s="9">
        <f t="shared" si="2"/>
        <v>0</v>
      </c>
      <c r="G35" s="20">
        <v>600</v>
      </c>
      <c r="H35" s="6" t="s">
        <v>209</v>
      </c>
      <c r="I35" s="4"/>
    </row>
    <row r="37" spans="2:10" ht="40.5" customHeight="1">
      <c r="B37" s="149" t="s">
        <v>39</v>
      </c>
      <c r="C37" s="149"/>
      <c r="D37" s="149"/>
      <c r="E37" s="149"/>
      <c r="H37" s="18" t="s">
        <v>31</v>
      </c>
      <c r="J37" s="18"/>
    </row>
    <row r="38" spans="8:10" ht="15.75">
      <c r="H38" s="18"/>
      <c r="J38" s="18"/>
    </row>
    <row r="39" spans="1:3" ht="15.75">
      <c r="A39" s="18"/>
      <c r="C39" s="19" t="s">
        <v>32</v>
      </c>
    </row>
  </sheetData>
  <sheetProtection/>
  <mergeCells count="2">
    <mergeCell ref="A1:H1"/>
    <mergeCell ref="B37:E37"/>
  </mergeCells>
  <printOptions/>
  <pageMargins left="0.2755905511811024" right="0.2" top="0.3" bottom="0.23" header="0.27" footer="0.1574803149606299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rgb="FFC00000"/>
  </sheetPr>
  <dimension ref="A1:J103"/>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8" t="s">
        <v>57</v>
      </c>
      <c r="B1" s="148"/>
      <c r="C1" s="148"/>
      <c r="D1" s="148"/>
      <c r="E1" s="148"/>
      <c r="F1" s="148"/>
      <c r="G1" s="148"/>
      <c r="H1" s="14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SUM(D6:D98)</f>
        <v>393243.63599999994</v>
      </c>
      <c r="E5" s="22">
        <f>SUM(E6:E98)</f>
        <v>326800.19399999996</v>
      </c>
      <c r="F5" s="22" t="s">
        <v>30</v>
      </c>
      <c r="G5" s="22">
        <f>SUM(G6:G98)</f>
        <v>178895.821</v>
      </c>
      <c r="H5" s="10"/>
      <c r="J5" s="13" t="e">
        <f>I5-#REF!</f>
        <v>#REF!</v>
      </c>
    </row>
    <row r="6" spans="1:9" s="14" customFormat="1" ht="110.25">
      <c r="A6" s="1">
        <v>1</v>
      </c>
      <c r="B6" s="3" t="s">
        <v>19</v>
      </c>
      <c r="C6" s="6" t="s">
        <v>41</v>
      </c>
      <c r="D6" s="20">
        <v>1545.172</v>
      </c>
      <c r="E6" s="20">
        <f>D6-18.89</f>
        <v>1526.282</v>
      </c>
      <c r="F6" s="9">
        <f aca="true" t="shared" si="0" ref="F6:F18">100-(E6/D6*100)</f>
        <v>1.2225176226336032</v>
      </c>
      <c r="G6" s="20">
        <v>70</v>
      </c>
      <c r="H6" s="6" t="s">
        <v>145</v>
      </c>
      <c r="I6" s="7"/>
    </row>
    <row r="7" spans="1:9" s="14" customFormat="1" ht="78.75">
      <c r="A7" s="1">
        <v>2</v>
      </c>
      <c r="B7" s="3" t="s">
        <v>19</v>
      </c>
      <c r="C7" s="6" t="s">
        <v>71</v>
      </c>
      <c r="D7" s="20">
        <v>867.722</v>
      </c>
      <c r="E7" s="20">
        <f>D7-560.444</f>
        <v>307.278</v>
      </c>
      <c r="F7" s="9">
        <f t="shared" si="0"/>
        <v>64.58796711389132</v>
      </c>
      <c r="G7" s="20">
        <v>50</v>
      </c>
      <c r="H7" s="24" t="s">
        <v>43</v>
      </c>
      <c r="I7" s="7"/>
    </row>
    <row r="8" spans="1:9" s="14" customFormat="1" ht="94.5">
      <c r="A8" s="1">
        <v>3</v>
      </c>
      <c r="B8" s="3" t="s">
        <v>33</v>
      </c>
      <c r="C8" s="6" t="s">
        <v>79</v>
      </c>
      <c r="D8" s="20">
        <v>21981.914</v>
      </c>
      <c r="E8" s="20">
        <f>D8-188.441</f>
        <v>21793.473</v>
      </c>
      <c r="F8" s="9">
        <f t="shared" si="0"/>
        <v>0.8572547413296121</v>
      </c>
      <c r="G8" s="23">
        <v>2200</v>
      </c>
      <c r="H8" s="6" t="s">
        <v>82</v>
      </c>
      <c r="I8" s="7"/>
    </row>
    <row r="9" spans="1:9" s="14" customFormat="1" ht="78.75">
      <c r="A9" s="1">
        <v>4</v>
      </c>
      <c r="B9" s="3" t="s">
        <v>19</v>
      </c>
      <c r="C9" s="6" t="s">
        <v>107</v>
      </c>
      <c r="D9" s="7">
        <v>24254.365</v>
      </c>
      <c r="E9" s="7">
        <f>D9</f>
        <v>24254.365</v>
      </c>
      <c r="F9" s="9">
        <f t="shared" si="0"/>
        <v>0</v>
      </c>
      <c r="G9" s="20">
        <v>4500</v>
      </c>
      <c r="H9" s="6" t="s">
        <v>146</v>
      </c>
      <c r="I9" s="4"/>
    </row>
    <row r="10" spans="1:9" s="14" customFormat="1" ht="94.5">
      <c r="A10" s="1">
        <v>5</v>
      </c>
      <c r="B10" s="3" t="s">
        <v>19</v>
      </c>
      <c r="C10" s="6" t="s">
        <v>108</v>
      </c>
      <c r="D10" s="7">
        <v>1500</v>
      </c>
      <c r="E10" s="7">
        <f>D10</f>
        <v>1500</v>
      </c>
      <c r="F10" s="9">
        <f t="shared" si="0"/>
        <v>0</v>
      </c>
      <c r="G10" s="20">
        <v>1500</v>
      </c>
      <c r="H10" s="6" t="s">
        <v>147</v>
      </c>
      <c r="I10" s="4"/>
    </row>
    <row r="11" spans="1:9" s="14" customFormat="1" ht="94.5">
      <c r="A11" s="1">
        <v>6</v>
      </c>
      <c r="B11" s="3" t="s">
        <v>19</v>
      </c>
      <c r="C11" s="6" t="s">
        <v>109</v>
      </c>
      <c r="D11" s="7">
        <v>1500</v>
      </c>
      <c r="E11" s="7">
        <f>D11</f>
        <v>1500</v>
      </c>
      <c r="F11" s="9">
        <f t="shared" si="0"/>
        <v>0</v>
      </c>
      <c r="G11" s="20">
        <v>1500</v>
      </c>
      <c r="H11" s="6" t="s">
        <v>147</v>
      </c>
      <c r="I11" s="4"/>
    </row>
    <row r="12" spans="1:9" s="14" customFormat="1" ht="189">
      <c r="A12" s="1">
        <v>7</v>
      </c>
      <c r="B12" s="3" t="s">
        <v>20</v>
      </c>
      <c r="C12" s="15" t="s">
        <v>34</v>
      </c>
      <c r="D12" s="20">
        <v>27620.08</v>
      </c>
      <c r="E12" s="20">
        <f>D12-79.166-2972.875</f>
        <v>24568.039</v>
      </c>
      <c r="F12" s="9">
        <f t="shared" si="0"/>
        <v>11.050080231483761</v>
      </c>
      <c r="G12" s="20">
        <v>8497.375</v>
      </c>
      <c r="H12" s="6" t="s">
        <v>59</v>
      </c>
      <c r="I12" s="7"/>
    </row>
    <row r="13" spans="1:9" s="14" customFormat="1" ht="126">
      <c r="A13" s="1">
        <v>8</v>
      </c>
      <c r="B13" s="3" t="s">
        <v>20</v>
      </c>
      <c r="C13" s="6" t="s">
        <v>21</v>
      </c>
      <c r="D13" s="20">
        <v>7706.785</v>
      </c>
      <c r="E13" s="20">
        <f>D13-95.619-4404.381</f>
        <v>3206.785</v>
      </c>
      <c r="F13" s="9">
        <f t="shared" si="0"/>
        <v>58.390106899310155</v>
      </c>
      <c r="G13" s="20">
        <v>3206.785</v>
      </c>
      <c r="H13" s="6" t="s">
        <v>48</v>
      </c>
      <c r="I13" s="7"/>
    </row>
    <row r="14" spans="1:9" s="14" customFormat="1" ht="78.75">
      <c r="A14" s="1">
        <v>9</v>
      </c>
      <c r="B14" s="3" t="s">
        <v>20</v>
      </c>
      <c r="C14" s="6" t="s">
        <v>22</v>
      </c>
      <c r="D14" s="20">
        <v>1316.513</v>
      </c>
      <c r="E14" s="20">
        <f>D14-62.983</f>
        <v>1253.53</v>
      </c>
      <c r="F14" s="9">
        <f t="shared" si="0"/>
        <v>4.784077331556929</v>
      </c>
      <c r="G14" s="20">
        <v>1253.53</v>
      </c>
      <c r="H14" s="6" t="s">
        <v>49</v>
      </c>
      <c r="I14" s="7"/>
    </row>
    <row r="15" spans="1:9" s="14" customFormat="1" ht="141.75">
      <c r="A15" s="1">
        <v>10</v>
      </c>
      <c r="B15" s="3" t="s">
        <v>20</v>
      </c>
      <c r="C15" s="6" t="s">
        <v>60</v>
      </c>
      <c r="D15" s="20">
        <v>2580</v>
      </c>
      <c r="E15" s="20">
        <f>D15-199.974</f>
        <v>2380.026</v>
      </c>
      <c r="F15" s="9">
        <f t="shared" si="0"/>
        <v>7.750930232558147</v>
      </c>
      <c r="G15" s="20">
        <v>2380.026</v>
      </c>
      <c r="H15" s="31" t="s">
        <v>68</v>
      </c>
      <c r="I15" s="7"/>
    </row>
    <row r="16" spans="1:9" s="14" customFormat="1" ht="78.75">
      <c r="A16" s="1">
        <v>11</v>
      </c>
      <c r="B16" s="3" t="s">
        <v>20</v>
      </c>
      <c r="C16" s="6" t="s">
        <v>66</v>
      </c>
      <c r="D16" s="20">
        <v>5000</v>
      </c>
      <c r="E16" s="20">
        <f>D16-178.744</f>
        <v>4821.256</v>
      </c>
      <c r="F16" s="9">
        <f t="shared" si="0"/>
        <v>3.574879999999993</v>
      </c>
      <c r="G16" s="20">
        <v>4821.256</v>
      </c>
      <c r="H16" s="6" t="s">
        <v>150</v>
      </c>
      <c r="I16" s="7"/>
    </row>
    <row r="17" spans="1:9" s="14" customFormat="1" ht="126">
      <c r="A17" s="1">
        <v>12</v>
      </c>
      <c r="B17" s="3" t="s">
        <v>20</v>
      </c>
      <c r="C17" s="6" t="s">
        <v>77</v>
      </c>
      <c r="D17" s="20">
        <f>5003.801+1000-214.453</f>
        <v>5789.348</v>
      </c>
      <c r="E17" s="20">
        <f>D17-34.588-4754.76</f>
        <v>1000</v>
      </c>
      <c r="F17" s="9">
        <f t="shared" si="0"/>
        <v>82.72689774392558</v>
      </c>
      <c r="G17" s="20">
        <v>1000</v>
      </c>
      <c r="H17" s="6" t="s">
        <v>148</v>
      </c>
      <c r="I17" s="7"/>
    </row>
    <row r="18" spans="1:9" s="14" customFormat="1" ht="63">
      <c r="A18" s="1">
        <v>13</v>
      </c>
      <c r="B18" s="3" t="s">
        <v>20</v>
      </c>
      <c r="C18" s="6" t="s">
        <v>85</v>
      </c>
      <c r="D18" s="20">
        <v>1387</v>
      </c>
      <c r="E18" s="20">
        <f>1387-87</f>
        <v>1300</v>
      </c>
      <c r="F18" s="9">
        <f t="shared" si="0"/>
        <v>6.272530641672674</v>
      </c>
      <c r="G18" s="20">
        <v>1300</v>
      </c>
      <c r="H18" s="6" t="s">
        <v>149</v>
      </c>
      <c r="I18" s="7"/>
    </row>
    <row r="19" spans="1:9" s="14" customFormat="1" ht="110.25">
      <c r="A19" s="1">
        <v>14</v>
      </c>
      <c r="B19" s="3" t="s">
        <v>20</v>
      </c>
      <c r="C19" s="6" t="s">
        <v>83</v>
      </c>
      <c r="D19" s="20">
        <v>250</v>
      </c>
      <c r="E19" s="20">
        <f>D19</f>
        <v>250</v>
      </c>
      <c r="F19" s="9">
        <f aca="true" t="shared" si="1" ref="F19:F25">100-(E19/D19*100)</f>
        <v>0</v>
      </c>
      <c r="G19" s="20">
        <v>250</v>
      </c>
      <c r="H19" s="25" t="s">
        <v>154</v>
      </c>
      <c r="I19" s="7"/>
    </row>
    <row r="20" spans="1:9" s="14" customFormat="1" ht="94.5">
      <c r="A20" s="1">
        <v>15</v>
      </c>
      <c r="B20" s="3" t="s">
        <v>20</v>
      </c>
      <c r="C20" s="6" t="s">
        <v>84</v>
      </c>
      <c r="D20" s="20">
        <v>4500</v>
      </c>
      <c r="E20" s="20">
        <f aca="true" t="shared" si="2" ref="E20:E25">D20</f>
        <v>4500</v>
      </c>
      <c r="F20" s="9">
        <f t="shared" si="1"/>
        <v>0</v>
      </c>
      <c r="G20" s="20">
        <v>4500</v>
      </c>
      <c r="H20" s="6" t="s">
        <v>151</v>
      </c>
      <c r="I20" s="7"/>
    </row>
    <row r="21" spans="1:9" s="14" customFormat="1" ht="94.5">
      <c r="A21" s="1">
        <v>16</v>
      </c>
      <c r="B21" s="3" t="s">
        <v>20</v>
      </c>
      <c r="C21" s="6" t="s">
        <v>87</v>
      </c>
      <c r="D21" s="20">
        <v>3000</v>
      </c>
      <c r="E21" s="20">
        <f t="shared" si="2"/>
        <v>3000</v>
      </c>
      <c r="F21" s="9">
        <f t="shared" si="1"/>
        <v>0</v>
      </c>
      <c r="G21" s="20">
        <v>3000</v>
      </c>
      <c r="H21" s="6" t="s">
        <v>152</v>
      </c>
      <c r="I21" s="7"/>
    </row>
    <row r="22" spans="1:9" s="14" customFormat="1" ht="94.5">
      <c r="A22" s="1">
        <v>17</v>
      </c>
      <c r="B22" s="3" t="s">
        <v>20</v>
      </c>
      <c r="C22" s="6" t="s">
        <v>88</v>
      </c>
      <c r="D22" s="20">
        <v>3500</v>
      </c>
      <c r="E22" s="20">
        <f t="shared" si="2"/>
        <v>3500</v>
      </c>
      <c r="F22" s="9">
        <f t="shared" si="1"/>
        <v>0</v>
      </c>
      <c r="G22" s="20">
        <v>3500</v>
      </c>
      <c r="H22" s="6" t="s">
        <v>152</v>
      </c>
      <c r="I22" s="7"/>
    </row>
    <row r="23" spans="1:9" s="14" customFormat="1" ht="94.5">
      <c r="A23" s="1">
        <v>18</v>
      </c>
      <c r="B23" s="3" t="s">
        <v>20</v>
      </c>
      <c r="C23" s="6" t="s">
        <v>89</v>
      </c>
      <c r="D23" s="20">
        <v>3800</v>
      </c>
      <c r="E23" s="20">
        <f t="shared" si="2"/>
        <v>3800</v>
      </c>
      <c r="F23" s="9">
        <f t="shared" si="1"/>
        <v>0</v>
      </c>
      <c r="G23" s="20">
        <v>3800</v>
      </c>
      <c r="H23" s="6" t="s">
        <v>153</v>
      </c>
      <c r="I23" s="7"/>
    </row>
    <row r="24" spans="1:9" s="14" customFormat="1" ht="94.5">
      <c r="A24" s="1">
        <v>19</v>
      </c>
      <c r="B24" s="3" t="s">
        <v>20</v>
      </c>
      <c r="C24" s="6" t="s">
        <v>90</v>
      </c>
      <c r="D24" s="20">
        <v>3800</v>
      </c>
      <c r="E24" s="20">
        <f t="shared" si="2"/>
        <v>3800</v>
      </c>
      <c r="F24" s="9">
        <f t="shared" si="1"/>
        <v>0</v>
      </c>
      <c r="G24" s="20">
        <v>3800</v>
      </c>
      <c r="H24" s="6" t="s">
        <v>154</v>
      </c>
      <c r="I24" s="7"/>
    </row>
    <row r="25" spans="1:9" s="14" customFormat="1" ht="141.75">
      <c r="A25" s="1">
        <v>20</v>
      </c>
      <c r="B25" s="3" t="s">
        <v>20</v>
      </c>
      <c r="C25" s="6" t="s">
        <v>95</v>
      </c>
      <c r="D25" s="7">
        <v>300</v>
      </c>
      <c r="E25" s="7">
        <f t="shared" si="2"/>
        <v>300</v>
      </c>
      <c r="F25" s="9">
        <f t="shared" si="1"/>
        <v>0</v>
      </c>
      <c r="G25" s="20">
        <v>300</v>
      </c>
      <c r="H25" s="25" t="s">
        <v>155</v>
      </c>
      <c r="I25" s="4"/>
    </row>
    <row r="26" spans="1:9" s="14" customFormat="1" ht="47.25">
      <c r="A26" s="1">
        <v>21</v>
      </c>
      <c r="B26" s="3" t="s">
        <v>28</v>
      </c>
      <c r="C26" s="6" t="s">
        <v>62</v>
      </c>
      <c r="D26" s="20">
        <v>14117.909</v>
      </c>
      <c r="E26" s="20">
        <f>D26-2770</f>
        <v>11347.909</v>
      </c>
      <c r="F26" s="9">
        <f>100-(E26/D26*100)</f>
        <v>19.62046929187602</v>
      </c>
      <c r="G26" s="20">
        <v>4000</v>
      </c>
      <c r="H26" s="6" t="s">
        <v>74</v>
      </c>
      <c r="I26" s="7"/>
    </row>
    <row r="27" spans="1:9" s="14" customFormat="1" ht="236.25">
      <c r="A27" s="1">
        <v>22</v>
      </c>
      <c r="B27" s="3" t="s">
        <v>28</v>
      </c>
      <c r="C27" s="15" t="s">
        <v>29</v>
      </c>
      <c r="D27" s="20">
        <v>70790.65</v>
      </c>
      <c r="E27" s="20">
        <f>D27-18842.403</f>
        <v>51948.246999999996</v>
      </c>
      <c r="F27" s="9">
        <f>100-(E27/D27*100)</f>
        <v>26.61707866787492</v>
      </c>
      <c r="G27" s="20">
        <v>10000</v>
      </c>
      <c r="H27" s="6" t="s">
        <v>50</v>
      </c>
      <c r="I27" s="7"/>
    </row>
    <row r="28" spans="1:9" s="14" customFormat="1" ht="189">
      <c r="A28" s="1">
        <v>23</v>
      </c>
      <c r="B28" s="3" t="s">
        <v>28</v>
      </c>
      <c r="C28" s="15" t="s">
        <v>75</v>
      </c>
      <c r="D28" s="20">
        <v>18856.07</v>
      </c>
      <c r="E28" s="20">
        <f>D28-280.524</f>
        <v>18575.546</v>
      </c>
      <c r="F28" s="9">
        <f>100-(E28/D28*100)</f>
        <v>1.4877119145187692</v>
      </c>
      <c r="G28" s="20">
        <v>5000</v>
      </c>
      <c r="H28" s="11" t="s">
        <v>156</v>
      </c>
      <c r="I28" s="7"/>
    </row>
    <row r="29" spans="1:9" s="14" customFormat="1" ht="141.75">
      <c r="A29" s="1">
        <v>24</v>
      </c>
      <c r="B29" s="3" t="s">
        <v>80</v>
      </c>
      <c r="C29" s="15" t="s">
        <v>81</v>
      </c>
      <c r="D29" s="20">
        <v>20000</v>
      </c>
      <c r="E29" s="20">
        <v>20000</v>
      </c>
      <c r="F29" s="9">
        <f>100-(E29/D29*100)</f>
        <v>0</v>
      </c>
      <c r="G29" s="20">
        <v>5000</v>
      </c>
      <c r="H29" s="11" t="s">
        <v>157</v>
      </c>
      <c r="I29" s="32"/>
    </row>
    <row r="30" spans="1:9" s="14" customFormat="1" ht="94.5">
      <c r="A30" s="1">
        <v>25</v>
      </c>
      <c r="B30" s="3" t="s">
        <v>28</v>
      </c>
      <c r="C30" s="15" t="s">
        <v>140</v>
      </c>
      <c r="D30" s="20">
        <v>800</v>
      </c>
      <c r="E30" s="23">
        <f>D30</f>
        <v>800</v>
      </c>
      <c r="F30" s="9">
        <f>100-(E30/D30*100)</f>
        <v>0</v>
      </c>
      <c r="G30" s="23">
        <v>800</v>
      </c>
      <c r="H30" s="26" t="s">
        <v>121</v>
      </c>
      <c r="I30" s="32"/>
    </row>
    <row r="31" spans="1:9" s="14" customFormat="1" ht="63">
      <c r="A31" s="1">
        <v>26</v>
      </c>
      <c r="B31" s="3" t="s">
        <v>28</v>
      </c>
      <c r="C31" s="15" t="s">
        <v>127</v>
      </c>
      <c r="D31" s="20">
        <v>1073.747</v>
      </c>
      <c r="E31" s="20">
        <f>D31-50.283</f>
        <v>1023.464</v>
      </c>
      <c r="F31" s="9">
        <f aca="true" t="shared" si="3" ref="F31:F38">100-(E31/D31*100)</f>
        <v>4.6829467276742065</v>
      </c>
      <c r="G31" s="20">
        <v>1023.464</v>
      </c>
      <c r="H31" s="11" t="s">
        <v>158</v>
      </c>
      <c r="I31" s="32"/>
    </row>
    <row r="32" spans="1:9" s="14" customFormat="1" ht="78.75">
      <c r="A32" s="1">
        <v>27</v>
      </c>
      <c r="B32" s="3" t="s">
        <v>28</v>
      </c>
      <c r="C32" s="15" t="s">
        <v>129</v>
      </c>
      <c r="D32" s="20">
        <v>8000</v>
      </c>
      <c r="E32" s="20">
        <f>D32</f>
        <v>8000</v>
      </c>
      <c r="F32" s="9">
        <f t="shared" si="3"/>
        <v>0</v>
      </c>
      <c r="G32" s="20">
        <v>3200</v>
      </c>
      <c r="H32" s="11" t="s">
        <v>159</v>
      </c>
      <c r="I32" s="32"/>
    </row>
    <row r="33" spans="1:9" s="14" customFormat="1" ht="63">
      <c r="A33" s="1">
        <v>28</v>
      </c>
      <c r="B33" s="3" t="s">
        <v>28</v>
      </c>
      <c r="C33" s="15" t="s">
        <v>131</v>
      </c>
      <c r="D33" s="20">
        <v>947.597</v>
      </c>
      <c r="E33" s="20">
        <f>D33-15.624</f>
        <v>931.973</v>
      </c>
      <c r="F33" s="9">
        <f t="shared" si="3"/>
        <v>1.6488021806738544</v>
      </c>
      <c r="G33" s="20">
        <v>931.597</v>
      </c>
      <c r="H33" s="11" t="s">
        <v>161</v>
      </c>
      <c r="I33" s="32"/>
    </row>
    <row r="34" spans="1:9" s="14" customFormat="1" ht="78.75">
      <c r="A34" s="1">
        <v>29</v>
      </c>
      <c r="B34" s="3" t="s">
        <v>28</v>
      </c>
      <c r="C34" s="15" t="s">
        <v>132</v>
      </c>
      <c r="D34" s="20">
        <v>126.086</v>
      </c>
      <c r="E34" s="20">
        <f>D34-6.943</f>
        <v>119.143</v>
      </c>
      <c r="F34" s="9">
        <f t="shared" si="3"/>
        <v>5.506559015275286</v>
      </c>
      <c r="G34" s="20">
        <v>119.143</v>
      </c>
      <c r="H34" s="11" t="s">
        <v>160</v>
      </c>
      <c r="I34" s="32"/>
    </row>
    <row r="35" spans="1:9" s="14" customFormat="1" ht="78.75">
      <c r="A35" s="1">
        <v>30</v>
      </c>
      <c r="B35" s="3" t="s">
        <v>28</v>
      </c>
      <c r="C35" s="15" t="s">
        <v>135</v>
      </c>
      <c r="D35" s="20">
        <v>383.911</v>
      </c>
      <c r="E35" s="20">
        <f>D35-25.723</f>
        <v>358.188</v>
      </c>
      <c r="F35" s="9">
        <f t="shared" si="3"/>
        <v>6.700250839387252</v>
      </c>
      <c r="G35" s="20">
        <v>358.188</v>
      </c>
      <c r="H35" s="11" t="s">
        <v>136</v>
      </c>
      <c r="I35" s="32"/>
    </row>
    <row r="36" spans="1:9" s="14" customFormat="1" ht="78.75">
      <c r="A36" s="1">
        <v>31</v>
      </c>
      <c r="B36" s="3" t="s">
        <v>28</v>
      </c>
      <c r="C36" s="15" t="s">
        <v>141</v>
      </c>
      <c r="D36" s="23">
        <v>314.5</v>
      </c>
      <c r="E36" s="20">
        <f>D36</f>
        <v>314.5</v>
      </c>
      <c r="F36" s="9">
        <f t="shared" si="3"/>
        <v>0</v>
      </c>
      <c r="G36" s="23">
        <v>314.5</v>
      </c>
      <c r="H36" s="11" t="s">
        <v>162</v>
      </c>
      <c r="I36" s="32"/>
    </row>
    <row r="37" spans="1:9" s="14" customFormat="1" ht="63">
      <c r="A37" s="1">
        <v>32</v>
      </c>
      <c r="B37" s="3" t="s">
        <v>28</v>
      </c>
      <c r="C37" s="15" t="s">
        <v>143</v>
      </c>
      <c r="D37" s="20">
        <v>500.3</v>
      </c>
      <c r="E37" s="20">
        <f>D37-18</f>
        <v>482.3</v>
      </c>
      <c r="F37" s="9">
        <f t="shared" si="3"/>
        <v>3.5978412952228638</v>
      </c>
      <c r="G37" s="20">
        <v>482.3</v>
      </c>
      <c r="H37" s="27" t="s">
        <v>163</v>
      </c>
      <c r="I37" s="32"/>
    </row>
    <row r="38" spans="1:9" s="14" customFormat="1" ht="63">
      <c r="A38" s="1">
        <v>33</v>
      </c>
      <c r="B38" s="3" t="s">
        <v>28</v>
      </c>
      <c r="C38" s="15" t="s">
        <v>144</v>
      </c>
      <c r="D38" s="20">
        <v>180</v>
      </c>
      <c r="E38" s="20">
        <f>D38-20</f>
        <v>160</v>
      </c>
      <c r="F38" s="9">
        <f t="shared" si="3"/>
        <v>11.111111111111114</v>
      </c>
      <c r="G38" s="20">
        <v>160</v>
      </c>
      <c r="H38" s="27" t="s">
        <v>163</v>
      </c>
      <c r="I38" s="32"/>
    </row>
    <row r="39" spans="1:9" s="14" customFormat="1" ht="47.25">
      <c r="A39" s="1">
        <v>34</v>
      </c>
      <c r="B39" s="3" t="s">
        <v>23</v>
      </c>
      <c r="C39" s="15" t="s">
        <v>35</v>
      </c>
      <c r="D39" s="20">
        <v>14260.633</v>
      </c>
      <c r="E39" s="20">
        <f>D39-21.353-13957.996</f>
        <v>281.28400000000147</v>
      </c>
      <c r="F39" s="9">
        <f>100-(E39/D39*100)</f>
        <v>98.02754898748182</v>
      </c>
      <c r="G39" s="20">
        <v>281.284</v>
      </c>
      <c r="H39" s="11" t="s">
        <v>38</v>
      </c>
      <c r="I39" s="4"/>
    </row>
    <row r="40" spans="1:9" s="14" customFormat="1" ht="78.75">
      <c r="A40" s="1">
        <v>35</v>
      </c>
      <c r="B40" s="3" t="s">
        <v>23</v>
      </c>
      <c r="C40" s="6" t="s">
        <v>51</v>
      </c>
      <c r="D40" s="23">
        <v>120</v>
      </c>
      <c r="E40" s="23">
        <v>120</v>
      </c>
      <c r="F40" s="9">
        <f aca="true" t="shared" si="4" ref="F40:F54">100-(E40/D40*100)</f>
        <v>0</v>
      </c>
      <c r="G40" s="20">
        <v>120</v>
      </c>
      <c r="H40" s="6" t="s">
        <v>164</v>
      </c>
      <c r="I40" s="4"/>
    </row>
    <row r="41" spans="1:9" s="14" customFormat="1" ht="78.75">
      <c r="A41" s="1">
        <v>36</v>
      </c>
      <c r="B41" s="3" t="s">
        <v>23</v>
      </c>
      <c r="C41" s="6" t="s">
        <v>55</v>
      </c>
      <c r="D41" s="23">
        <v>191.212</v>
      </c>
      <c r="E41" s="23">
        <v>191.212</v>
      </c>
      <c r="F41" s="9">
        <f t="shared" si="4"/>
        <v>0</v>
      </c>
      <c r="G41" s="20">
        <v>191.212</v>
      </c>
      <c r="H41" s="6" t="s">
        <v>165</v>
      </c>
      <c r="I41" s="4"/>
    </row>
    <row r="42" spans="1:9" s="14" customFormat="1" ht="78.75">
      <c r="A42" s="1">
        <v>37</v>
      </c>
      <c r="B42" s="3" t="s">
        <v>23</v>
      </c>
      <c r="C42" s="6" t="s">
        <v>54</v>
      </c>
      <c r="D42" s="23">
        <v>250</v>
      </c>
      <c r="E42" s="23">
        <f>D42</f>
        <v>250</v>
      </c>
      <c r="F42" s="9">
        <f t="shared" si="4"/>
        <v>0</v>
      </c>
      <c r="G42" s="20">
        <v>250</v>
      </c>
      <c r="H42" s="6" t="s">
        <v>171</v>
      </c>
      <c r="I42" s="4"/>
    </row>
    <row r="43" spans="1:9" s="14" customFormat="1" ht="141.75">
      <c r="A43" s="1">
        <v>38</v>
      </c>
      <c r="B43" s="3" t="s">
        <v>23</v>
      </c>
      <c r="C43" s="6" t="s">
        <v>7</v>
      </c>
      <c r="D43" s="28">
        <v>185.179</v>
      </c>
      <c r="E43" s="28">
        <v>185.179</v>
      </c>
      <c r="F43" s="9">
        <f t="shared" si="4"/>
        <v>0</v>
      </c>
      <c r="G43" s="20">
        <v>185.179</v>
      </c>
      <c r="H43" s="6" t="s">
        <v>166</v>
      </c>
      <c r="I43" s="4"/>
    </row>
    <row r="44" spans="1:9" s="14" customFormat="1" ht="110.25">
      <c r="A44" s="1">
        <v>39</v>
      </c>
      <c r="B44" s="3" t="s">
        <v>23</v>
      </c>
      <c r="C44" s="6" t="s">
        <v>118</v>
      </c>
      <c r="D44" s="28">
        <v>700</v>
      </c>
      <c r="E44" s="28">
        <f aca="true" t="shared" si="5" ref="E44:E49">D44</f>
        <v>700</v>
      </c>
      <c r="F44" s="9">
        <f>100-(E44/D44*100)</f>
        <v>0</v>
      </c>
      <c r="G44" s="20">
        <v>700</v>
      </c>
      <c r="H44" s="24" t="s">
        <v>167</v>
      </c>
      <c r="I44" s="4"/>
    </row>
    <row r="45" spans="1:9" s="14" customFormat="1" ht="78.75">
      <c r="A45" s="1">
        <v>40</v>
      </c>
      <c r="B45" s="3" t="s">
        <v>23</v>
      </c>
      <c r="C45" s="6" t="s">
        <v>168</v>
      </c>
      <c r="D45" s="28">
        <v>1500</v>
      </c>
      <c r="E45" s="28">
        <f t="shared" si="5"/>
        <v>1500</v>
      </c>
      <c r="F45" s="9">
        <f>100-(E45/D45*100)</f>
        <v>0</v>
      </c>
      <c r="G45" s="20">
        <v>1500</v>
      </c>
      <c r="H45" s="6" t="s">
        <v>170</v>
      </c>
      <c r="I45" s="4"/>
    </row>
    <row r="46" spans="1:9" s="14" customFormat="1" ht="78.75">
      <c r="A46" s="1">
        <v>41</v>
      </c>
      <c r="B46" s="3" t="s">
        <v>23</v>
      </c>
      <c r="C46" s="6" t="s">
        <v>169</v>
      </c>
      <c r="D46" s="28">
        <v>450</v>
      </c>
      <c r="E46" s="28">
        <f t="shared" si="5"/>
        <v>450</v>
      </c>
      <c r="F46" s="29">
        <f>100-(E46/D46*100)</f>
        <v>0</v>
      </c>
      <c r="G46" s="23">
        <v>450</v>
      </c>
      <c r="H46" s="24" t="s">
        <v>167</v>
      </c>
      <c r="I46" s="4"/>
    </row>
    <row r="47" spans="1:9" s="14" customFormat="1" ht="78.75">
      <c r="A47" s="1">
        <v>42</v>
      </c>
      <c r="B47" s="3" t="s">
        <v>172</v>
      </c>
      <c r="C47" s="6" t="s">
        <v>124</v>
      </c>
      <c r="D47" s="28">
        <v>1500</v>
      </c>
      <c r="E47" s="28">
        <f t="shared" si="5"/>
        <v>1500</v>
      </c>
      <c r="F47" s="29">
        <f>100-(E47/D47*100)</f>
        <v>0</v>
      </c>
      <c r="G47" s="23">
        <v>1500</v>
      </c>
      <c r="H47" s="24" t="s">
        <v>173</v>
      </c>
      <c r="I47" s="4"/>
    </row>
    <row r="48" spans="1:9" s="14" customFormat="1" ht="94.5">
      <c r="A48" s="1">
        <v>43</v>
      </c>
      <c r="B48" s="3" t="s">
        <v>86</v>
      </c>
      <c r="C48" s="6" t="s">
        <v>91</v>
      </c>
      <c r="D48" s="7">
        <v>5600</v>
      </c>
      <c r="E48" s="7">
        <f t="shared" si="5"/>
        <v>5600</v>
      </c>
      <c r="F48" s="9">
        <f t="shared" si="4"/>
        <v>0</v>
      </c>
      <c r="G48" s="20">
        <v>5600</v>
      </c>
      <c r="H48" s="6" t="s">
        <v>174</v>
      </c>
      <c r="I48" s="4"/>
    </row>
    <row r="49" spans="1:9" s="14" customFormat="1" ht="94.5">
      <c r="A49" s="1">
        <v>44</v>
      </c>
      <c r="B49" s="3" t="s">
        <v>86</v>
      </c>
      <c r="C49" s="6" t="s">
        <v>92</v>
      </c>
      <c r="D49" s="7">
        <v>4000</v>
      </c>
      <c r="E49" s="7">
        <f t="shared" si="5"/>
        <v>4000</v>
      </c>
      <c r="F49" s="9">
        <f>100-(E49/D49*100)</f>
        <v>0</v>
      </c>
      <c r="G49" s="20">
        <v>2900</v>
      </c>
      <c r="H49" s="6" t="s">
        <v>175</v>
      </c>
      <c r="I49" s="4"/>
    </row>
    <row r="50" spans="1:9" s="14" customFormat="1" ht="126">
      <c r="A50" s="1">
        <v>45</v>
      </c>
      <c r="B50" s="3" t="s">
        <v>86</v>
      </c>
      <c r="C50" s="6" t="s">
        <v>93</v>
      </c>
      <c r="D50" s="7">
        <v>500</v>
      </c>
      <c r="E50" s="7">
        <f>D50</f>
        <v>500</v>
      </c>
      <c r="F50" s="9">
        <f>100-(E50/D50*100)</f>
        <v>0</v>
      </c>
      <c r="G50" s="20">
        <v>500</v>
      </c>
      <c r="H50" s="6" t="s">
        <v>177</v>
      </c>
      <c r="I50" s="4"/>
    </row>
    <row r="51" spans="1:9" s="14" customFormat="1" ht="126">
      <c r="A51" s="1">
        <v>46</v>
      </c>
      <c r="B51" s="3" t="s">
        <v>86</v>
      </c>
      <c r="C51" s="6" t="s">
        <v>94</v>
      </c>
      <c r="D51" s="7">
        <v>1100</v>
      </c>
      <c r="E51" s="7">
        <f>D51</f>
        <v>1100</v>
      </c>
      <c r="F51" s="9">
        <f>100-(E51/D51*100)</f>
        <v>0</v>
      </c>
      <c r="G51" s="20">
        <v>1100</v>
      </c>
      <c r="H51" s="25" t="s">
        <v>176</v>
      </c>
      <c r="I51" s="4"/>
    </row>
    <row r="52" spans="1:9" s="14" customFormat="1" ht="63">
      <c r="A52" s="1">
        <v>47</v>
      </c>
      <c r="B52" s="3" t="s">
        <v>86</v>
      </c>
      <c r="C52" s="6" t="s">
        <v>96</v>
      </c>
      <c r="D52" s="7">
        <v>250</v>
      </c>
      <c r="E52" s="7">
        <f>D52</f>
        <v>250</v>
      </c>
      <c r="F52" s="9">
        <f>100-(E52/D52*100)</f>
        <v>0</v>
      </c>
      <c r="G52" s="20">
        <v>250</v>
      </c>
      <c r="H52" s="6" t="s">
        <v>178</v>
      </c>
      <c r="I52" s="4"/>
    </row>
    <row r="53" spans="1:9" s="14" customFormat="1" ht="47.25">
      <c r="A53" s="1">
        <v>48</v>
      </c>
      <c r="B53" s="3" t="s">
        <v>18</v>
      </c>
      <c r="C53" s="6" t="s">
        <v>64</v>
      </c>
      <c r="D53" s="20">
        <v>538.445</v>
      </c>
      <c r="E53" s="20">
        <f>D53-280</f>
        <v>258.44500000000005</v>
      </c>
      <c r="F53" s="9">
        <f t="shared" si="4"/>
        <v>52.001597191913746</v>
      </c>
      <c r="G53" s="20">
        <v>258.445</v>
      </c>
      <c r="H53" s="6" t="s">
        <v>179</v>
      </c>
      <c r="I53" s="4"/>
    </row>
    <row r="54" spans="1:9" s="14" customFormat="1" ht="63">
      <c r="A54" s="1">
        <v>49</v>
      </c>
      <c r="B54" s="3" t="s">
        <v>18</v>
      </c>
      <c r="C54" s="6" t="s">
        <v>67</v>
      </c>
      <c r="D54" s="20">
        <v>1946.149</v>
      </c>
      <c r="E54" s="20">
        <f>D54-93.871</f>
        <v>1852.2779999999998</v>
      </c>
      <c r="F54" s="9">
        <f t="shared" si="4"/>
        <v>4.8234230780890925</v>
      </c>
      <c r="G54" s="20">
        <v>1852.278</v>
      </c>
      <c r="H54" s="6" t="s">
        <v>72</v>
      </c>
      <c r="I54" s="4"/>
    </row>
    <row r="55" spans="1:9" s="14" customFormat="1" ht="63">
      <c r="A55" s="1">
        <v>50</v>
      </c>
      <c r="B55" s="3" t="s">
        <v>40</v>
      </c>
      <c r="C55" s="6" t="s">
        <v>65</v>
      </c>
      <c r="D55" s="7">
        <v>3500</v>
      </c>
      <c r="E55" s="7">
        <f>D55-238.796</f>
        <v>3261.204</v>
      </c>
      <c r="F55" s="9">
        <v>0</v>
      </c>
      <c r="G55" s="20">
        <v>3261.204</v>
      </c>
      <c r="H55" s="6" t="s">
        <v>180</v>
      </c>
      <c r="I55" s="4"/>
    </row>
    <row r="56" spans="1:9" s="14" customFormat="1" ht="94.5">
      <c r="A56" s="1">
        <v>51</v>
      </c>
      <c r="B56" s="3" t="s">
        <v>40</v>
      </c>
      <c r="C56" s="6" t="s">
        <v>3</v>
      </c>
      <c r="D56" s="7">
        <v>240</v>
      </c>
      <c r="E56" s="7">
        <f>D56</f>
        <v>240</v>
      </c>
      <c r="F56" s="9">
        <v>0</v>
      </c>
      <c r="G56" s="20">
        <v>240</v>
      </c>
      <c r="H56" s="6" t="s">
        <v>211</v>
      </c>
      <c r="I56" s="4"/>
    </row>
    <row r="57" spans="1:9" s="14" customFormat="1" ht="63">
      <c r="A57" s="1">
        <v>52</v>
      </c>
      <c r="B57" s="3" t="s">
        <v>44</v>
      </c>
      <c r="C57" s="6" t="s">
        <v>45</v>
      </c>
      <c r="D57" s="20">
        <v>2779.035</v>
      </c>
      <c r="E57" s="20">
        <f>D57-317.247-24.521</f>
        <v>2437.267</v>
      </c>
      <c r="F57" s="9">
        <v>0</v>
      </c>
      <c r="G57" s="20">
        <v>2437.267</v>
      </c>
      <c r="H57" s="6" t="s">
        <v>46</v>
      </c>
      <c r="I57" s="18"/>
    </row>
    <row r="58" spans="1:9" s="14" customFormat="1" ht="78.75">
      <c r="A58" s="1">
        <v>53</v>
      </c>
      <c r="B58" s="3" t="s">
        <v>111</v>
      </c>
      <c r="C58" s="6" t="s">
        <v>112</v>
      </c>
      <c r="D58" s="23">
        <v>300</v>
      </c>
      <c r="E58" s="23">
        <f>D58</f>
        <v>300</v>
      </c>
      <c r="F58" s="29">
        <v>0</v>
      </c>
      <c r="G58" s="23">
        <v>300</v>
      </c>
      <c r="H58" s="24" t="s">
        <v>167</v>
      </c>
      <c r="I58" s="18"/>
    </row>
    <row r="59" spans="1:9" s="14" customFormat="1" ht="78.75">
      <c r="A59" s="1">
        <v>54</v>
      </c>
      <c r="B59" s="3" t="s">
        <v>44</v>
      </c>
      <c r="C59" s="6" t="s">
        <v>113</v>
      </c>
      <c r="D59" s="23">
        <v>150</v>
      </c>
      <c r="E59" s="23">
        <f>D59</f>
        <v>150</v>
      </c>
      <c r="F59" s="29">
        <v>0</v>
      </c>
      <c r="G59" s="23">
        <v>150</v>
      </c>
      <c r="H59" s="24" t="s">
        <v>167</v>
      </c>
      <c r="I59" s="18"/>
    </row>
    <row r="60" spans="1:9" s="14" customFormat="1" ht="110.25">
      <c r="A60" s="1">
        <v>55</v>
      </c>
      <c r="B60" s="3" t="s">
        <v>42</v>
      </c>
      <c r="C60" s="6" t="s">
        <v>9</v>
      </c>
      <c r="D60" s="20">
        <v>5000</v>
      </c>
      <c r="E60" s="20">
        <f>D60-207.8</f>
        <v>4792.2</v>
      </c>
      <c r="F60" s="9">
        <f aca="true" t="shared" si="6" ref="F60:F75">100-(E60/D60*100)</f>
        <v>4.156000000000006</v>
      </c>
      <c r="G60" s="20">
        <v>4792</v>
      </c>
      <c r="H60" s="6" t="s">
        <v>181</v>
      </c>
      <c r="I60" s="18"/>
    </row>
    <row r="61" spans="1:9" s="14" customFormat="1" ht="94.5">
      <c r="A61" s="1">
        <v>56</v>
      </c>
      <c r="B61" s="3" t="s">
        <v>2</v>
      </c>
      <c r="C61" s="6" t="s">
        <v>53</v>
      </c>
      <c r="D61" s="20">
        <v>460</v>
      </c>
      <c r="E61" s="20">
        <v>460</v>
      </c>
      <c r="F61" s="9">
        <f t="shared" si="6"/>
        <v>0</v>
      </c>
      <c r="G61" s="20">
        <v>460</v>
      </c>
      <c r="H61" s="6" t="s">
        <v>182</v>
      </c>
      <c r="I61" s="4"/>
    </row>
    <row r="62" spans="1:9" s="14" customFormat="1" ht="78.75">
      <c r="A62" s="1">
        <v>57</v>
      </c>
      <c r="B62" s="3" t="s">
        <v>2</v>
      </c>
      <c r="C62" s="6" t="s">
        <v>52</v>
      </c>
      <c r="D62" s="20">
        <v>100</v>
      </c>
      <c r="E62" s="20">
        <v>100</v>
      </c>
      <c r="F62" s="9">
        <f t="shared" si="6"/>
        <v>0</v>
      </c>
      <c r="G62" s="20">
        <v>100</v>
      </c>
      <c r="H62" s="6" t="s">
        <v>183</v>
      </c>
      <c r="I62" s="4"/>
    </row>
    <row r="63" spans="1:9" s="14" customFormat="1" ht="110.25">
      <c r="A63" s="1">
        <v>58</v>
      </c>
      <c r="B63" s="3" t="s">
        <v>26</v>
      </c>
      <c r="C63" s="6" t="s">
        <v>10</v>
      </c>
      <c r="D63" s="20">
        <v>1600</v>
      </c>
      <c r="E63" s="20">
        <v>1600</v>
      </c>
      <c r="F63" s="9">
        <f t="shared" si="6"/>
        <v>0</v>
      </c>
      <c r="G63" s="20">
        <v>1600</v>
      </c>
      <c r="H63" s="6" t="s">
        <v>184</v>
      </c>
      <c r="I63" s="4"/>
    </row>
    <row r="64" spans="1:9" s="14" customFormat="1" ht="94.5">
      <c r="A64" s="1">
        <v>59</v>
      </c>
      <c r="B64" s="3" t="s">
        <v>26</v>
      </c>
      <c r="C64" s="15" t="s">
        <v>128</v>
      </c>
      <c r="D64" s="20">
        <v>8500</v>
      </c>
      <c r="E64" s="20">
        <f aca="true" t="shared" si="7" ref="E64:E69">D64</f>
        <v>8500</v>
      </c>
      <c r="F64" s="9">
        <f t="shared" si="6"/>
        <v>0</v>
      </c>
      <c r="G64" s="20">
        <v>4000</v>
      </c>
      <c r="H64" s="6" t="s">
        <v>185</v>
      </c>
      <c r="I64" s="4"/>
    </row>
    <row r="65" spans="1:9" s="14" customFormat="1" ht="78.75">
      <c r="A65" s="1">
        <v>60</v>
      </c>
      <c r="B65" s="3" t="s">
        <v>26</v>
      </c>
      <c r="C65" s="6" t="s">
        <v>130</v>
      </c>
      <c r="D65" s="20">
        <v>2300</v>
      </c>
      <c r="E65" s="20">
        <f t="shared" si="7"/>
        <v>2300</v>
      </c>
      <c r="F65" s="9">
        <f>100-(E65/D65*100)</f>
        <v>0</v>
      </c>
      <c r="G65" s="20">
        <v>2300</v>
      </c>
      <c r="H65" s="6" t="s">
        <v>186</v>
      </c>
      <c r="I65" s="4"/>
    </row>
    <row r="66" spans="1:9" s="14" customFormat="1" ht="94.5">
      <c r="A66" s="1">
        <v>61</v>
      </c>
      <c r="B66" s="3" t="s">
        <v>26</v>
      </c>
      <c r="C66" s="6" t="s">
        <v>137</v>
      </c>
      <c r="D66" s="20">
        <v>30</v>
      </c>
      <c r="E66" s="20">
        <f t="shared" si="7"/>
        <v>30</v>
      </c>
      <c r="F66" s="9">
        <f>100-(E66/D66*100)</f>
        <v>0</v>
      </c>
      <c r="G66" s="20">
        <v>30</v>
      </c>
      <c r="H66" s="6" t="s">
        <v>187</v>
      </c>
      <c r="I66" s="4"/>
    </row>
    <row r="67" spans="1:9" s="14" customFormat="1" ht="94.5">
      <c r="A67" s="1">
        <v>62</v>
      </c>
      <c r="B67" s="3" t="s">
        <v>26</v>
      </c>
      <c r="C67" s="6" t="s">
        <v>138</v>
      </c>
      <c r="D67" s="20">
        <v>30</v>
      </c>
      <c r="E67" s="20">
        <f t="shared" si="7"/>
        <v>30</v>
      </c>
      <c r="F67" s="9">
        <f>100-(E67/D67*100)</f>
        <v>0</v>
      </c>
      <c r="G67" s="20">
        <v>30</v>
      </c>
      <c r="H67" s="24" t="s">
        <v>121</v>
      </c>
      <c r="I67" s="4"/>
    </row>
    <row r="68" spans="1:9" s="14" customFormat="1" ht="78.75">
      <c r="A68" s="1">
        <v>63</v>
      </c>
      <c r="B68" s="3" t="s">
        <v>26</v>
      </c>
      <c r="C68" s="6" t="s">
        <v>139</v>
      </c>
      <c r="D68" s="20">
        <v>40</v>
      </c>
      <c r="E68" s="20">
        <f t="shared" si="7"/>
        <v>40</v>
      </c>
      <c r="F68" s="9">
        <f>100-(E68/D68*100)</f>
        <v>0</v>
      </c>
      <c r="G68" s="20">
        <v>40</v>
      </c>
      <c r="H68" s="24" t="s">
        <v>121</v>
      </c>
      <c r="I68" s="4"/>
    </row>
    <row r="69" spans="1:9" s="14" customFormat="1" ht="78.75">
      <c r="A69" s="1">
        <v>64</v>
      </c>
      <c r="B69" s="3" t="s">
        <v>26</v>
      </c>
      <c r="C69" s="6" t="s">
        <v>142</v>
      </c>
      <c r="D69" s="20">
        <v>3700</v>
      </c>
      <c r="E69" s="20">
        <f t="shared" si="7"/>
        <v>3700</v>
      </c>
      <c r="F69" s="9">
        <f>100-(E69/D69*100)</f>
        <v>0</v>
      </c>
      <c r="G69" s="20">
        <v>3700</v>
      </c>
      <c r="H69" s="6" t="s">
        <v>188</v>
      </c>
      <c r="I69" s="4"/>
    </row>
    <row r="70" spans="1:9" s="14" customFormat="1" ht="78.75">
      <c r="A70" s="1">
        <v>65</v>
      </c>
      <c r="B70" s="3" t="s">
        <v>78</v>
      </c>
      <c r="C70" s="6" t="s">
        <v>69</v>
      </c>
      <c r="D70" s="20">
        <v>290.702</v>
      </c>
      <c r="E70" s="20">
        <f>D70-4.388</f>
        <v>286.314</v>
      </c>
      <c r="F70" s="9">
        <f t="shared" si="6"/>
        <v>1.5094495393908574</v>
      </c>
      <c r="G70" s="20">
        <v>286.314</v>
      </c>
      <c r="H70" s="37" t="s">
        <v>70</v>
      </c>
      <c r="I70" s="18"/>
    </row>
    <row r="71" spans="1:9" s="14" customFormat="1" ht="47.25">
      <c r="A71" s="1">
        <v>66</v>
      </c>
      <c r="B71" s="3" t="s">
        <v>126</v>
      </c>
      <c r="C71" s="6" t="s">
        <v>190</v>
      </c>
      <c r="D71" s="20">
        <v>2497.638</v>
      </c>
      <c r="E71" s="20">
        <f>D71-47.473</f>
        <v>2450.165</v>
      </c>
      <c r="F71" s="9">
        <f t="shared" si="6"/>
        <v>1.9007157962843308</v>
      </c>
      <c r="G71" s="20">
        <v>2450.165</v>
      </c>
      <c r="H71" s="6" t="s">
        <v>189</v>
      </c>
      <c r="I71" s="18"/>
    </row>
    <row r="72" spans="1:9" s="14" customFormat="1" ht="78.75">
      <c r="A72" s="1">
        <v>67</v>
      </c>
      <c r="B72" s="3" t="s">
        <v>133</v>
      </c>
      <c r="C72" s="6" t="s">
        <v>134</v>
      </c>
      <c r="D72" s="20">
        <v>800</v>
      </c>
      <c r="E72" s="20">
        <f>D72</f>
        <v>800</v>
      </c>
      <c r="F72" s="9">
        <f t="shared" si="6"/>
        <v>0</v>
      </c>
      <c r="G72" s="20">
        <v>800</v>
      </c>
      <c r="H72" s="6" t="s">
        <v>191</v>
      </c>
      <c r="I72" s="18"/>
    </row>
    <row r="73" spans="1:9" s="14" customFormat="1" ht="63">
      <c r="A73" s="1">
        <v>68</v>
      </c>
      <c r="B73" s="3" t="s">
        <v>37</v>
      </c>
      <c r="C73" s="6" t="s">
        <v>36</v>
      </c>
      <c r="D73" s="20">
        <v>2060</v>
      </c>
      <c r="E73" s="20">
        <f>D73</f>
        <v>2060</v>
      </c>
      <c r="F73" s="9">
        <f t="shared" si="6"/>
        <v>0</v>
      </c>
      <c r="G73" s="20">
        <v>2060</v>
      </c>
      <c r="H73" s="6" t="s">
        <v>192</v>
      </c>
      <c r="I73" s="18"/>
    </row>
    <row r="74" spans="1:9" s="14" customFormat="1" ht="94.5">
      <c r="A74" s="1">
        <v>69</v>
      </c>
      <c r="B74" s="3" t="s">
        <v>25</v>
      </c>
      <c r="C74" s="6" t="s">
        <v>5</v>
      </c>
      <c r="D74" s="7">
        <f>2982.054+1550-70.317</f>
        <v>4461.737</v>
      </c>
      <c r="E74" s="7">
        <f>D74-2911.737</f>
        <v>1550</v>
      </c>
      <c r="F74" s="9">
        <f t="shared" si="6"/>
        <v>65.26016661224094</v>
      </c>
      <c r="G74" s="20">
        <v>1550</v>
      </c>
      <c r="H74" s="6" t="s">
        <v>193</v>
      </c>
      <c r="I74" s="4" t="s">
        <v>4</v>
      </c>
    </row>
    <row r="75" spans="1:9" s="14" customFormat="1" ht="94.5">
      <c r="A75" s="1">
        <v>70</v>
      </c>
      <c r="B75" s="3" t="s">
        <v>25</v>
      </c>
      <c r="C75" s="6" t="s">
        <v>97</v>
      </c>
      <c r="D75" s="7">
        <v>6500</v>
      </c>
      <c r="E75" s="7">
        <f>D75</f>
        <v>6500</v>
      </c>
      <c r="F75" s="9">
        <f t="shared" si="6"/>
        <v>0</v>
      </c>
      <c r="G75" s="20">
        <v>4000</v>
      </c>
      <c r="H75" s="6" t="s">
        <v>194</v>
      </c>
      <c r="I75" s="4"/>
    </row>
    <row r="76" spans="1:9" s="14" customFormat="1" ht="78.75">
      <c r="A76" s="1">
        <v>71</v>
      </c>
      <c r="B76" s="3" t="s">
        <v>25</v>
      </c>
      <c r="C76" s="6" t="s">
        <v>100</v>
      </c>
      <c r="D76" s="7">
        <v>1900</v>
      </c>
      <c r="E76" s="7">
        <f aca="true" t="shared" si="8" ref="E76:E84">D76</f>
        <v>1900</v>
      </c>
      <c r="F76" s="9">
        <f aca="true" t="shared" si="9" ref="F76:F83">100-(E76/D76*100)</f>
        <v>0</v>
      </c>
      <c r="G76" s="20">
        <v>1900</v>
      </c>
      <c r="H76" s="6" t="s">
        <v>195</v>
      </c>
      <c r="I76" s="4"/>
    </row>
    <row r="77" spans="1:9" s="14" customFormat="1" ht="78.75">
      <c r="A77" s="1">
        <v>72</v>
      </c>
      <c r="B77" s="3" t="s">
        <v>25</v>
      </c>
      <c r="C77" s="33" t="s">
        <v>99</v>
      </c>
      <c r="D77" s="7">
        <v>2200</v>
      </c>
      <c r="E77" s="7">
        <f t="shared" si="8"/>
        <v>2200</v>
      </c>
      <c r="F77" s="9">
        <f t="shared" si="9"/>
        <v>0</v>
      </c>
      <c r="G77" s="20">
        <v>2200</v>
      </c>
      <c r="H77" s="6" t="s">
        <v>196</v>
      </c>
      <c r="I77" s="4"/>
    </row>
    <row r="78" spans="1:9" s="14" customFormat="1" ht="78.75">
      <c r="A78" s="1">
        <v>73</v>
      </c>
      <c r="B78" s="3" t="s">
        <v>25</v>
      </c>
      <c r="C78" s="6" t="s">
        <v>98</v>
      </c>
      <c r="D78" s="7">
        <v>1600</v>
      </c>
      <c r="E78" s="7">
        <f>D78</f>
        <v>1600</v>
      </c>
      <c r="F78" s="9">
        <f>100-(E78/D78*100)</f>
        <v>0</v>
      </c>
      <c r="G78" s="20">
        <v>1600</v>
      </c>
      <c r="H78" s="6" t="s">
        <v>197</v>
      </c>
      <c r="I78" s="4"/>
    </row>
    <row r="79" spans="1:9" s="14" customFormat="1" ht="63">
      <c r="A79" s="1">
        <v>74</v>
      </c>
      <c r="B79" s="3" t="s">
        <v>25</v>
      </c>
      <c r="C79" s="6" t="s">
        <v>101</v>
      </c>
      <c r="D79" s="7">
        <v>1490</v>
      </c>
      <c r="E79" s="7">
        <f t="shared" si="8"/>
        <v>1490</v>
      </c>
      <c r="F79" s="9">
        <f t="shared" si="9"/>
        <v>0</v>
      </c>
      <c r="G79" s="20">
        <v>1490</v>
      </c>
      <c r="H79" s="6" t="s">
        <v>198</v>
      </c>
      <c r="I79" s="4"/>
    </row>
    <row r="80" spans="1:9" s="14" customFormat="1" ht="78.75">
      <c r="A80" s="1">
        <v>75</v>
      </c>
      <c r="B80" s="3" t="s">
        <v>25</v>
      </c>
      <c r="C80" s="6" t="s">
        <v>102</v>
      </c>
      <c r="D80" s="7">
        <v>1100</v>
      </c>
      <c r="E80" s="7">
        <f t="shared" si="8"/>
        <v>1100</v>
      </c>
      <c r="F80" s="9">
        <f t="shared" si="9"/>
        <v>0</v>
      </c>
      <c r="G80" s="20">
        <v>1100</v>
      </c>
      <c r="H80" s="6" t="s">
        <v>199</v>
      </c>
      <c r="I80" s="4"/>
    </row>
    <row r="81" spans="1:9" s="14" customFormat="1" ht="63">
      <c r="A81" s="1">
        <v>76</v>
      </c>
      <c r="B81" s="3" t="s">
        <v>25</v>
      </c>
      <c r="C81" s="6" t="s">
        <v>105</v>
      </c>
      <c r="D81" s="7">
        <v>1190</v>
      </c>
      <c r="E81" s="7">
        <f t="shared" si="8"/>
        <v>1190</v>
      </c>
      <c r="F81" s="9">
        <f t="shared" si="9"/>
        <v>0</v>
      </c>
      <c r="G81" s="20">
        <v>1190</v>
      </c>
      <c r="H81" s="6" t="s">
        <v>198</v>
      </c>
      <c r="I81" s="4"/>
    </row>
    <row r="82" spans="1:9" s="14" customFormat="1" ht="78.75">
      <c r="A82" s="1">
        <v>77</v>
      </c>
      <c r="B82" s="3" t="s">
        <v>25</v>
      </c>
      <c r="C82" s="6" t="s">
        <v>104</v>
      </c>
      <c r="D82" s="7">
        <v>1620</v>
      </c>
      <c r="E82" s="7">
        <f t="shared" si="8"/>
        <v>1620</v>
      </c>
      <c r="F82" s="9">
        <f t="shared" si="9"/>
        <v>0</v>
      </c>
      <c r="G82" s="20">
        <v>1620</v>
      </c>
      <c r="H82" s="6" t="s">
        <v>200</v>
      </c>
      <c r="I82" s="4"/>
    </row>
    <row r="83" spans="1:9" s="14" customFormat="1" ht="78.75">
      <c r="A83" s="1">
        <v>78</v>
      </c>
      <c r="B83" s="3" t="s">
        <v>25</v>
      </c>
      <c r="C83" s="33" t="s">
        <v>103</v>
      </c>
      <c r="D83" s="7">
        <v>2000</v>
      </c>
      <c r="E83" s="7">
        <f t="shared" si="8"/>
        <v>2000</v>
      </c>
      <c r="F83" s="9">
        <f t="shared" si="9"/>
        <v>0</v>
      </c>
      <c r="G83" s="20">
        <v>2000</v>
      </c>
      <c r="H83" s="6" t="s">
        <v>201</v>
      </c>
      <c r="I83" s="4"/>
    </row>
    <row r="84" spans="1:9" s="14" customFormat="1" ht="94.5">
      <c r="A84" s="1">
        <v>79</v>
      </c>
      <c r="B84" s="3" t="s">
        <v>25</v>
      </c>
      <c r="C84" s="6" t="s">
        <v>106</v>
      </c>
      <c r="D84" s="7">
        <v>320</v>
      </c>
      <c r="E84" s="7">
        <f t="shared" si="8"/>
        <v>320</v>
      </c>
      <c r="F84" s="9">
        <f aca="true" t="shared" si="10" ref="F84:F98">100-(E84/D84*100)</f>
        <v>0</v>
      </c>
      <c r="G84" s="20">
        <v>320</v>
      </c>
      <c r="H84" s="24" t="s">
        <v>202</v>
      </c>
      <c r="I84" s="4"/>
    </row>
    <row r="85" spans="1:9" s="14" customFormat="1" ht="94.5">
      <c r="A85" s="1">
        <v>80</v>
      </c>
      <c r="B85" s="3" t="s">
        <v>6</v>
      </c>
      <c r="C85" s="6" t="s">
        <v>8</v>
      </c>
      <c r="D85" s="7">
        <v>1600</v>
      </c>
      <c r="E85" s="7">
        <v>1600</v>
      </c>
      <c r="F85" s="9">
        <f t="shared" si="10"/>
        <v>0</v>
      </c>
      <c r="G85" s="20">
        <v>1600</v>
      </c>
      <c r="H85" s="6" t="s">
        <v>203</v>
      </c>
      <c r="I85" s="4"/>
    </row>
    <row r="86" spans="1:9" s="14" customFormat="1" ht="94.5">
      <c r="A86" s="1">
        <v>81</v>
      </c>
      <c r="B86" s="3" t="s">
        <v>6</v>
      </c>
      <c r="C86" s="6" t="s">
        <v>110</v>
      </c>
      <c r="D86" s="7">
        <v>200</v>
      </c>
      <c r="E86" s="7">
        <f>D86</f>
        <v>200</v>
      </c>
      <c r="F86" s="9">
        <f t="shared" si="10"/>
        <v>0</v>
      </c>
      <c r="G86" s="20">
        <v>200</v>
      </c>
      <c r="H86" s="24" t="s">
        <v>202</v>
      </c>
      <c r="I86" s="4"/>
    </row>
    <row r="87" spans="1:9" s="14" customFormat="1" ht="47.25">
      <c r="A87" s="1">
        <v>82</v>
      </c>
      <c r="B87" s="3" t="s">
        <v>6</v>
      </c>
      <c r="C87" s="6" t="s">
        <v>125</v>
      </c>
      <c r="D87" s="7">
        <v>100</v>
      </c>
      <c r="E87" s="7">
        <f>D87</f>
        <v>100</v>
      </c>
      <c r="F87" s="9">
        <f t="shared" si="10"/>
        <v>0</v>
      </c>
      <c r="G87" s="20">
        <v>100</v>
      </c>
      <c r="H87" s="24" t="s">
        <v>202</v>
      </c>
      <c r="I87" s="4"/>
    </row>
    <row r="88" spans="1:9" s="14" customFormat="1" ht="78.75">
      <c r="A88" s="1">
        <v>83</v>
      </c>
      <c r="B88" s="3" t="s">
        <v>120</v>
      </c>
      <c r="C88" s="6" t="s">
        <v>123</v>
      </c>
      <c r="D88" s="7">
        <v>650</v>
      </c>
      <c r="E88" s="7">
        <f>D88</f>
        <v>650</v>
      </c>
      <c r="F88" s="9">
        <f t="shared" si="10"/>
        <v>0</v>
      </c>
      <c r="G88" s="20">
        <v>650</v>
      </c>
      <c r="H88" s="24" t="s">
        <v>202</v>
      </c>
      <c r="I88" s="4"/>
    </row>
    <row r="89" spans="1:9" s="14" customFormat="1" ht="94.5">
      <c r="A89" s="1">
        <v>84</v>
      </c>
      <c r="B89" s="3" t="s">
        <v>120</v>
      </c>
      <c r="C89" s="6" t="s">
        <v>122</v>
      </c>
      <c r="D89" s="7">
        <v>700</v>
      </c>
      <c r="E89" s="7">
        <f>D89</f>
        <v>700</v>
      </c>
      <c r="F89" s="9">
        <f t="shared" si="10"/>
        <v>0</v>
      </c>
      <c r="G89" s="20">
        <v>700</v>
      </c>
      <c r="H89" s="24" t="s">
        <v>202</v>
      </c>
      <c r="I89" s="4"/>
    </row>
    <row r="90" spans="1:9" s="14" customFormat="1" ht="78.75">
      <c r="A90" s="1">
        <v>85</v>
      </c>
      <c r="B90" s="3" t="s">
        <v>117</v>
      </c>
      <c r="C90" s="6" t="s">
        <v>119</v>
      </c>
      <c r="D90" s="7">
        <v>400</v>
      </c>
      <c r="E90" s="7">
        <f>D90</f>
        <v>400</v>
      </c>
      <c r="F90" s="9">
        <f t="shared" si="10"/>
        <v>0</v>
      </c>
      <c r="G90" s="20">
        <v>400</v>
      </c>
      <c r="H90" s="24" t="s">
        <v>202</v>
      </c>
      <c r="I90" s="4"/>
    </row>
    <row r="91" spans="1:9" s="14" customFormat="1" ht="94.5">
      <c r="A91" s="1">
        <v>86</v>
      </c>
      <c r="B91" s="3" t="s">
        <v>218</v>
      </c>
      <c r="C91" s="6" t="s">
        <v>114</v>
      </c>
      <c r="D91" s="20">
        <f>9459.785+7000-369.681</f>
        <v>16090.104</v>
      </c>
      <c r="E91" s="20">
        <f>D91-9090.104</f>
        <v>7000</v>
      </c>
      <c r="F91" s="9">
        <f>100-(E91/D91*100)</f>
        <v>56.49499841641794</v>
      </c>
      <c r="G91" s="20">
        <v>7000</v>
      </c>
      <c r="H91" s="6" t="s">
        <v>207</v>
      </c>
      <c r="I91" s="4"/>
    </row>
    <row r="92" spans="1:9" s="14" customFormat="1" ht="94.5">
      <c r="A92" s="1">
        <v>87</v>
      </c>
      <c r="B92" s="3" t="s">
        <v>218</v>
      </c>
      <c r="C92" s="6" t="s">
        <v>116</v>
      </c>
      <c r="D92" s="20">
        <v>600</v>
      </c>
      <c r="E92" s="20">
        <f>D92</f>
        <v>600</v>
      </c>
      <c r="F92" s="9">
        <f>100-(E92/D92*100)</f>
        <v>0</v>
      </c>
      <c r="G92" s="20">
        <v>600</v>
      </c>
      <c r="H92" s="6" t="s">
        <v>208</v>
      </c>
      <c r="I92" s="4"/>
    </row>
    <row r="93" spans="1:9" s="14" customFormat="1" ht="110.25">
      <c r="A93" s="1">
        <v>88</v>
      </c>
      <c r="B93" s="3" t="s">
        <v>218</v>
      </c>
      <c r="C93" s="6" t="s">
        <v>115</v>
      </c>
      <c r="D93" s="20">
        <v>600</v>
      </c>
      <c r="E93" s="20">
        <f>D93</f>
        <v>600</v>
      </c>
      <c r="F93" s="9">
        <f>100-(E93/D93*100)</f>
        <v>0</v>
      </c>
      <c r="G93" s="20">
        <v>600</v>
      </c>
      <c r="H93" s="6" t="s">
        <v>209</v>
      </c>
      <c r="I93" s="4"/>
    </row>
    <row r="94" spans="1:9" s="14" customFormat="1" ht="63">
      <c r="A94" s="1">
        <v>89</v>
      </c>
      <c r="B94" s="3" t="s">
        <v>27</v>
      </c>
      <c r="C94" s="6" t="s">
        <v>61</v>
      </c>
      <c r="D94" s="20">
        <v>4691.8</v>
      </c>
      <c r="E94" s="20">
        <f>4691.8-1520</f>
        <v>3171.8</v>
      </c>
      <c r="F94" s="9">
        <f t="shared" si="10"/>
        <v>32.396947866490464</v>
      </c>
      <c r="G94" s="20">
        <v>3171.8</v>
      </c>
      <c r="H94" s="6" t="s">
        <v>47</v>
      </c>
      <c r="I94" s="4"/>
    </row>
    <row r="95" spans="1:9" s="14" customFormat="1" ht="110.25">
      <c r="A95" s="1">
        <v>90</v>
      </c>
      <c r="B95" s="3" t="s">
        <v>27</v>
      </c>
      <c r="C95" s="6" t="s">
        <v>0</v>
      </c>
      <c r="D95" s="20">
        <v>3800</v>
      </c>
      <c r="E95" s="20">
        <f>D95</f>
        <v>3800</v>
      </c>
      <c r="F95" s="9">
        <f t="shared" si="10"/>
        <v>0</v>
      </c>
      <c r="G95" s="20">
        <v>3800</v>
      </c>
      <c r="H95" s="6" t="s">
        <v>204</v>
      </c>
      <c r="I95" s="4"/>
    </row>
    <row r="96" spans="1:9" s="14" customFormat="1" ht="110.25">
      <c r="A96" s="1">
        <v>91</v>
      </c>
      <c r="B96" s="3" t="s">
        <v>27</v>
      </c>
      <c r="C96" s="6" t="s">
        <v>1</v>
      </c>
      <c r="D96" s="20">
        <v>400</v>
      </c>
      <c r="E96" s="20">
        <f>D96</f>
        <v>400</v>
      </c>
      <c r="F96" s="9">
        <f t="shared" si="10"/>
        <v>0</v>
      </c>
      <c r="G96" s="20">
        <v>400</v>
      </c>
      <c r="H96" s="6" t="s">
        <v>205</v>
      </c>
      <c r="I96" s="4"/>
    </row>
    <row r="97" spans="1:9" s="14" customFormat="1" ht="63">
      <c r="A97" s="1">
        <v>92</v>
      </c>
      <c r="B97" s="3" t="s">
        <v>27</v>
      </c>
      <c r="C97" s="6" t="s">
        <v>76</v>
      </c>
      <c r="D97" s="20">
        <v>8500</v>
      </c>
      <c r="E97" s="20">
        <f>D97-400.791</f>
        <v>8099.209</v>
      </c>
      <c r="F97" s="9">
        <f t="shared" si="10"/>
        <v>4.7151882352941215</v>
      </c>
      <c r="G97" s="20">
        <v>8099.209</v>
      </c>
      <c r="H97" s="6" t="s">
        <v>206</v>
      </c>
      <c r="I97" s="4"/>
    </row>
    <row r="98" spans="1:9" s="14" customFormat="1" ht="63">
      <c r="A98" s="1">
        <v>93</v>
      </c>
      <c r="B98" s="3" t="s">
        <v>24</v>
      </c>
      <c r="C98" s="6" t="s">
        <v>63</v>
      </c>
      <c r="D98" s="20">
        <v>4771.333</v>
      </c>
      <c r="E98" s="20">
        <f>D98-1660</f>
        <v>3111.3329999999996</v>
      </c>
      <c r="F98" s="9">
        <f t="shared" si="10"/>
        <v>34.79111602564734</v>
      </c>
      <c r="G98" s="20">
        <v>3111.3</v>
      </c>
      <c r="H98" s="11" t="s">
        <v>73</v>
      </c>
      <c r="I98" s="4"/>
    </row>
    <row r="101" spans="2:10" ht="40.5" customHeight="1">
      <c r="B101" s="149" t="s">
        <v>39</v>
      </c>
      <c r="C101" s="149"/>
      <c r="D101" s="149"/>
      <c r="E101" s="149"/>
      <c r="H101" s="18" t="s">
        <v>31</v>
      </c>
      <c r="J101" s="18"/>
    </row>
    <row r="102" spans="8:10" ht="15.75">
      <c r="H102" s="18"/>
      <c r="J102" s="18"/>
    </row>
    <row r="103" spans="1:3" ht="15.75">
      <c r="A103" s="18"/>
      <c r="C103" s="19"/>
    </row>
  </sheetData>
  <sheetProtection/>
  <mergeCells count="2">
    <mergeCell ref="A1:H1"/>
    <mergeCell ref="B101:E101"/>
  </mergeCells>
  <printOptions/>
  <pageMargins left="0.2755905511811024" right="0.2" top="0.3" bottom="0.23" header="0.27" footer="0.1574803149606299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26"/>
  </sheetPr>
  <dimension ref="A1:J34"/>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8" t="s">
        <v>57</v>
      </c>
      <c r="B1" s="148"/>
      <c r="C1" s="148"/>
      <c r="D1" s="148"/>
      <c r="E1" s="148"/>
      <c r="F1" s="148"/>
      <c r="G1" s="148"/>
      <c r="H1" s="14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SUM(D6:D29)</f>
        <v>189375.857</v>
      </c>
      <c r="E5" s="22">
        <f>SUM(E6:E29)</f>
        <v>132191.783</v>
      </c>
      <c r="F5" s="22" t="s">
        <v>30</v>
      </c>
      <c r="G5" s="22">
        <f>SUM(G6:G29)</f>
        <v>61824.35400000001</v>
      </c>
      <c r="H5" s="10"/>
      <c r="J5" s="13" t="e">
        <f>I5-#REF!</f>
        <v>#REF!</v>
      </c>
    </row>
    <row r="6" spans="1:9" s="14" customFormat="1" ht="189">
      <c r="A6" s="1">
        <v>1</v>
      </c>
      <c r="B6" s="3" t="s">
        <v>20</v>
      </c>
      <c r="C6" s="15" t="s">
        <v>34</v>
      </c>
      <c r="D6" s="20">
        <v>27620.08</v>
      </c>
      <c r="E6" s="20">
        <f>D6-79.166-2972.875</f>
        <v>24568.039</v>
      </c>
      <c r="F6" s="9">
        <f aca="true" t="shared" si="0" ref="F6:F17">100-(E6/D6*100)</f>
        <v>11.050080231483761</v>
      </c>
      <c r="G6" s="20">
        <v>8497.375</v>
      </c>
      <c r="H6" s="6" t="s">
        <v>59</v>
      </c>
      <c r="I6" s="7"/>
    </row>
    <row r="7" spans="1:9" s="14" customFormat="1" ht="110.25">
      <c r="A7" s="1">
        <v>2</v>
      </c>
      <c r="B7" s="3" t="s">
        <v>20</v>
      </c>
      <c r="C7" s="6" t="s">
        <v>21</v>
      </c>
      <c r="D7" s="20">
        <v>7706.785</v>
      </c>
      <c r="E7" s="20">
        <f>D7-95.619-4404.381</f>
        <v>3206.785</v>
      </c>
      <c r="F7" s="9">
        <f t="shared" si="0"/>
        <v>58.390106899310155</v>
      </c>
      <c r="G7" s="20">
        <v>3206.785</v>
      </c>
      <c r="H7" s="6" t="s">
        <v>48</v>
      </c>
      <c r="I7" s="7"/>
    </row>
    <row r="8" spans="1:9" s="14" customFormat="1" ht="63">
      <c r="A8" s="1">
        <v>3</v>
      </c>
      <c r="B8" s="3" t="s">
        <v>20</v>
      </c>
      <c r="C8" s="6" t="s">
        <v>85</v>
      </c>
      <c r="D8" s="20">
        <v>1387</v>
      </c>
      <c r="E8" s="20">
        <f>1387-87</f>
        <v>1300</v>
      </c>
      <c r="F8" s="9">
        <f t="shared" si="0"/>
        <v>6.272530641672674</v>
      </c>
      <c r="G8" s="20">
        <v>1300</v>
      </c>
      <c r="H8" s="6" t="s">
        <v>149</v>
      </c>
      <c r="I8" s="7"/>
    </row>
    <row r="9" spans="1:9" s="14" customFormat="1" ht="47.25">
      <c r="A9" s="1">
        <v>4</v>
      </c>
      <c r="B9" s="3" t="s">
        <v>28</v>
      </c>
      <c r="C9" s="6" t="s">
        <v>62</v>
      </c>
      <c r="D9" s="20">
        <v>14117.909</v>
      </c>
      <c r="E9" s="20">
        <f>D9-2770</f>
        <v>11347.909</v>
      </c>
      <c r="F9" s="9">
        <f t="shared" si="0"/>
        <v>19.62046929187602</v>
      </c>
      <c r="G9" s="20">
        <v>4000</v>
      </c>
      <c r="H9" s="6" t="s">
        <v>74</v>
      </c>
      <c r="I9" s="7"/>
    </row>
    <row r="10" spans="1:9" s="14" customFormat="1" ht="236.25">
      <c r="A10" s="1">
        <v>5</v>
      </c>
      <c r="B10" s="3" t="s">
        <v>28</v>
      </c>
      <c r="C10" s="15" t="s">
        <v>29</v>
      </c>
      <c r="D10" s="20">
        <v>70790.65</v>
      </c>
      <c r="E10" s="20">
        <f>D10-18842.403</f>
        <v>51948.246999999996</v>
      </c>
      <c r="F10" s="9">
        <f t="shared" si="0"/>
        <v>26.61707866787492</v>
      </c>
      <c r="G10" s="20">
        <v>5000</v>
      </c>
      <c r="H10" s="6" t="s">
        <v>50</v>
      </c>
      <c r="I10" s="7"/>
    </row>
    <row r="11" spans="1:9" s="14" customFormat="1" ht="47.25">
      <c r="A11" s="1">
        <v>6</v>
      </c>
      <c r="B11" s="3" t="s">
        <v>28</v>
      </c>
      <c r="C11" s="15" t="s">
        <v>131</v>
      </c>
      <c r="D11" s="20">
        <v>947.597</v>
      </c>
      <c r="E11" s="20">
        <f>D11-15.624</f>
        <v>931.973</v>
      </c>
      <c r="F11" s="9">
        <f t="shared" si="0"/>
        <v>1.6488021806738544</v>
      </c>
      <c r="G11" s="20">
        <v>931.597</v>
      </c>
      <c r="H11" s="11" t="s">
        <v>219</v>
      </c>
      <c r="I11" s="32"/>
    </row>
    <row r="12" spans="1:9" s="14" customFormat="1" ht="78.75">
      <c r="A12" s="1">
        <v>7</v>
      </c>
      <c r="B12" s="3" t="s">
        <v>28</v>
      </c>
      <c r="C12" s="15" t="s">
        <v>132</v>
      </c>
      <c r="D12" s="20">
        <v>126.086</v>
      </c>
      <c r="E12" s="20">
        <f>D12-6.943</f>
        <v>119.143</v>
      </c>
      <c r="F12" s="9">
        <f t="shared" si="0"/>
        <v>5.506559015275286</v>
      </c>
      <c r="G12" s="20">
        <v>119.143</v>
      </c>
      <c r="H12" s="11" t="s">
        <v>220</v>
      </c>
      <c r="I12" s="32"/>
    </row>
    <row r="13" spans="1:9" s="14" customFormat="1" ht="78.75">
      <c r="A13" s="1">
        <v>8</v>
      </c>
      <c r="B13" s="3" t="s">
        <v>28</v>
      </c>
      <c r="C13" s="15" t="s">
        <v>135</v>
      </c>
      <c r="D13" s="20">
        <v>383.911</v>
      </c>
      <c r="E13" s="20">
        <f>D13-25.723</f>
        <v>358.188</v>
      </c>
      <c r="F13" s="9">
        <f t="shared" si="0"/>
        <v>6.700250839387252</v>
      </c>
      <c r="G13" s="20">
        <v>358.188</v>
      </c>
      <c r="H13" s="11" t="s">
        <v>136</v>
      </c>
      <c r="I13" s="32"/>
    </row>
    <row r="14" spans="1:9" s="14" customFormat="1" ht="63">
      <c r="A14" s="1">
        <v>9</v>
      </c>
      <c r="B14" s="3" t="s">
        <v>28</v>
      </c>
      <c r="C14" s="15" t="s">
        <v>144</v>
      </c>
      <c r="D14" s="20">
        <v>180</v>
      </c>
      <c r="E14" s="20">
        <f>D14-20</f>
        <v>160</v>
      </c>
      <c r="F14" s="9">
        <f t="shared" si="0"/>
        <v>11.111111111111114</v>
      </c>
      <c r="G14" s="20">
        <v>160</v>
      </c>
      <c r="H14" s="39" t="s">
        <v>221</v>
      </c>
      <c r="I14" s="32"/>
    </row>
    <row r="15" spans="1:9" s="14" customFormat="1" ht="47.25">
      <c r="A15" s="1">
        <v>10</v>
      </c>
      <c r="B15" s="3" t="s">
        <v>23</v>
      </c>
      <c r="C15" s="15" t="s">
        <v>35</v>
      </c>
      <c r="D15" s="20">
        <v>14260.633</v>
      </c>
      <c r="E15" s="20">
        <f>D15-21.353-13957.996</f>
        <v>281.28400000000147</v>
      </c>
      <c r="F15" s="9">
        <f t="shared" si="0"/>
        <v>98.02754898748182</v>
      </c>
      <c r="G15" s="20">
        <v>281.284</v>
      </c>
      <c r="H15" s="11" t="s">
        <v>38</v>
      </c>
      <c r="I15" s="4"/>
    </row>
    <row r="16" spans="1:9" s="14" customFormat="1" ht="78.75">
      <c r="A16" s="1">
        <v>11</v>
      </c>
      <c r="B16" s="3" t="s">
        <v>23</v>
      </c>
      <c r="C16" s="6" t="s">
        <v>54</v>
      </c>
      <c r="D16" s="23">
        <v>250</v>
      </c>
      <c r="E16" s="23">
        <f>D16</f>
        <v>250</v>
      </c>
      <c r="F16" s="9">
        <f t="shared" si="0"/>
        <v>0</v>
      </c>
      <c r="G16" s="20">
        <v>250</v>
      </c>
      <c r="H16" s="6" t="s">
        <v>171</v>
      </c>
      <c r="I16" s="4"/>
    </row>
    <row r="17" spans="1:9" s="14" customFormat="1" ht="47.25">
      <c r="A17" s="1">
        <v>12</v>
      </c>
      <c r="B17" s="3" t="s">
        <v>18</v>
      </c>
      <c r="C17" s="6" t="s">
        <v>64</v>
      </c>
      <c r="D17" s="20">
        <v>538.445</v>
      </c>
      <c r="E17" s="20">
        <f>D17-280</f>
        <v>258.44500000000005</v>
      </c>
      <c r="F17" s="9">
        <f t="shared" si="0"/>
        <v>52.001597191913746</v>
      </c>
      <c r="G17" s="20">
        <v>258.445</v>
      </c>
      <c r="H17" s="6" t="s">
        <v>179</v>
      </c>
      <c r="I17" s="4"/>
    </row>
    <row r="18" spans="1:9" s="14" customFormat="1" ht="63">
      <c r="A18" s="1">
        <v>13</v>
      </c>
      <c r="B18" s="3" t="s">
        <v>40</v>
      </c>
      <c r="C18" s="6" t="s">
        <v>65</v>
      </c>
      <c r="D18" s="7">
        <v>3500</v>
      </c>
      <c r="E18" s="7">
        <f>D18-238.796</f>
        <v>3261.204</v>
      </c>
      <c r="F18" s="9">
        <v>0</v>
      </c>
      <c r="G18" s="20">
        <v>3261.204</v>
      </c>
      <c r="H18" s="6" t="s">
        <v>180</v>
      </c>
      <c r="I18" s="4"/>
    </row>
    <row r="19" spans="1:9" s="14" customFormat="1" ht="63">
      <c r="A19" s="1">
        <v>14</v>
      </c>
      <c r="B19" s="3" t="s">
        <v>18</v>
      </c>
      <c r="C19" s="6" t="s">
        <v>67</v>
      </c>
      <c r="D19" s="20">
        <v>1946.149</v>
      </c>
      <c r="E19" s="20">
        <f>D19-93.871</f>
        <v>1852.2779999999998</v>
      </c>
      <c r="F19" s="9">
        <f>100-(E19/D19*100)</f>
        <v>4.8234230780890925</v>
      </c>
      <c r="G19" s="20">
        <v>1852.278</v>
      </c>
      <c r="H19" s="6" t="s">
        <v>72</v>
      </c>
      <c r="I19" s="4"/>
    </row>
    <row r="20" spans="1:9" s="14" customFormat="1" ht="63">
      <c r="A20" s="1">
        <v>15</v>
      </c>
      <c r="B20" s="3" t="s">
        <v>44</v>
      </c>
      <c r="C20" s="6" t="s">
        <v>45</v>
      </c>
      <c r="D20" s="20">
        <v>2779.035</v>
      </c>
      <c r="E20" s="20">
        <f>D20-317.247-24.521</f>
        <v>2437.267</v>
      </c>
      <c r="F20" s="9">
        <v>0</v>
      </c>
      <c r="G20" s="20">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5000</v>
      </c>
      <c r="E22" s="20">
        <f>D22-207.8</f>
        <v>4792.2</v>
      </c>
      <c r="F22" s="9">
        <f aca="true" t="shared" si="1" ref="F22:F28">100-(E22/D22*100)</f>
        <v>4.156000000000006</v>
      </c>
      <c r="G22" s="20">
        <v>4792</v>
      </c>
      <c r="H22" s="6" t="s">
        <v>181</v>
      </c>
      <c r="I22" s="18"/>
    </row>
    <row r="23" spans="1:9" s="14" customFormat="1" ht="78.75">
      <c r="A23" s="1">
        <v>18</v>
      </c>
      <c r="B23" s="3" t="s">
        <v>78</v>
      </c>
      <c r="C23" s="6" t="s">
        <v>69</v>
      </c>
      <c r="D23" s="20">
        <v>290.702</v>
      </c>
      <c r="E23" s="20">
        <f>D23-4.388</f>
        <v>286.314</v>
      </c>
      <c r="F23" s="9">
        <f t="shared" si="1"/>
        <v>1.5094495393908574</v>
      </c>
      <c r="G23" s="20">
        <v>286.314</v>
      </c>
      <c r="H23" s="6" t="s">
        <v>70</v>
      </c>
      <c r="I23" s="18"/>
    </row>
    <row r="24" spans="1:9" s="14" customFormat="1" ht="47.25">
      <c r="A24" s="1">
        <v>19</v>
      </c>
      <c r="B24" s="3" t="s">
        <v>126</v>
      </c>
      <c r="C24" s="6" t="s">
        <v>190</v>
      </c>
      <c r="D24" s="20">
        <v>2497.638</v>
      </c>
      <c r="E24" s="20">
        <f>D24-47.473</f>
        <v>2450.165</v>
      </c>
      <c r="F24" s="9">
        <f t="shared" si="1"/>
        <v>1.9007157962843308</v>
      </c>
      <c r="G24" s="20">
        <v>2450.165</v>
      </c>
      <c r="H24" s="6" t="s">
        <v>189</v>
      </c>
      <c r="I24" s="18"/>
    </row>
    <row r="25" spans="1:9" s="14" customFormat="1" ht="94.5">
      <c r="A25" s="1">
        <v>20</v>
      </c>
      <c r="B25" s="3" t="s">
        <v>120</v>
      </c>
      <c r="C25" s="6" t="s">
        <v>122</v>
      </c>
      <c r="D25" s="7">
        <v>700</v>
      </c>
      <c r="E25" s="7">
        <f>D25</f>
        <v>700</v>
      </c>
      <c r="F25" s="9">
        <f t="shared" si="1"/>
        <v>0</v>
      </c>
      <c r="G25" s="20">
        <v>700</v>
      </c>
      <c r="H25" s="24" t="s">
        <v>202</v>
      </c>
      <c r="I25" s="4"/>
    </row>
    <row r="26" spans="1:9" s="14" customFormat="1" ht="94.5">
      <c r="A26" s="1">
        <v>21</v>
      </c>
      <c r="B26" s="3" t="s">
        <v>218</v>
      </c>
      <c r="C26" s="6" t="s">
        <v>114</v>
      </c>
      <c r="D26" s="20">
        <f>9459.785+7000-369.681</f>
        <v>16090.104</v>
      </c>
      <c r="E26" s="20">
        <f>D26-9090.104</f>
        <v>7000</v>
      </c>
      <c r="F26" s="9">
        <f>100-(E26/D26*100)</f>
        <v>56.49499841641794</v>
      </c>
      <c r="G26" s="20">
        <v>7000</v>
      </c>
      <c r="H26" s="6" t="s">
        <v>207</v>
      </c>
      <c r="I26" s="4"/>
    </row>
    <row r="27" spans="1:9" s="14" customFormat="1" ht="63">
      <c r="A27" s="1">
        <v>22</v>
      </c>
      <c r="B27" s="3" t="s">
        <v>27</v>
      </c>
      <c r="C27" s="6" t="s">
        <v>61</v>
      </c>
      <c r="D27" s="20">
        <v>4691.8</v>
      </c>
      <c r="E27" s="20">
        <f>4691.8-1520</f>
        <v>3171.8</v>
      </c>
      <c r="F27" s="9">
        <f t="shared" si="1"/>
        <v>32.396947866490464</v>
      </c>
      <c r="G27" s="20">
        <v>3171.8</v>
      </c>
      <c r="H27" s="6" t="s">
        <v>47</v>
      </c>
      <c r="I27" s="4"/>
    </row>
    <row r="28" spans="1:9" s="14" customFormat="1" ht="63">
      <c r="A28" s="1">
        <v>23</v>
      </c>
      <c r="B28" s="3" t="s">
        <v>27</v>
      </c>
      <c r="C28" s="6" t="s">
        <v>76</v>
      </c>
      <c r="D28" s="20">
        <v>8500</v>
      </c>
      <c r="E28" s="20">
        <f>D28-400.791</f>
        <v>8099.209</v>
      </c>
      <c r="F28" s="9">
        <f t="shared" si="1"/>
        <v>4.7151882352941215</v>
      </c>
      <c r="G28" s="20">
        <v>8099.209</v>
      </c>
      <c r="H28" s="6" t="s">
        <v>206</v>
      </c>
      <c r="I28" s="4"/>
    </row>
    <row r="29" spans="1:9" s="14" customFormat="1" ht="63">
      <c r="A29" s="1">
        <v>24</v>
      </c>
      <c r="B29" s="3" t="s">
        <v>24</v>
      </c>
      <c r="C29" s="6" t="s">
        <v>63</v>
      </c>
      <c r="D29" s="20">
        <v>4771.333</v>
      </c>
      <c r="E29" s="20">
        <f>D29-1660</f>
        <v>3111.3329999999996</v>
      </c>
      <c r="F29" s="9">
        <f>100-(E29/D29*100)</f>
        <v>34.79111602564734</v>
      </c>
      <c r="G29" s="20">
        <v>3111.3</v>
      </c>
      <c r="H29" s="11" t="s">
        <v>73</v>
      </c>
      <c r="I29" s="4"/>
    </row>
    <row r="32" spans="2:10" ht="40.5" customHeight="1">
      <c r="B32" s="149" t="s">
        <v>39</v>
      </c>
      <c r="C32" s="149"/>
      <c r="D32" s="149"/>
      <c r="E32" s="149"/>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0"/>
  </sheetPr>
  <dimension ref="A1:J36"/>
  <sheetViews>
    <sheetView zoomScale="70" zoomScaleNormal="70" zoomScaleSheetLayoutView="50" zoomScalePageLayoutView="0" workbookViewId="0" topLeftCell="A3">
      <pane xSplit="3" ySplit="2" topLeftCell="F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48" t="s">
        <v>57</v>
      </c>
      <c r="B1" s="148"/>
      <c r="C1" s="148"/>
      <c r="D1" s="148"/>
      <c r="E1" s="148"/>
      <c r="F1" s="148"/>
      <c r="G1" s="148"/>
      <c r="H1" s="148"/>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SUM(D6:D31)</f>
        <v>227853.16100000002</v>
      </c>
      <c r="E5" s="22">
        <f>SUM(E6:E31)</f>
        <v>169959.64200000002</v>
      </c>
      <c r="F5" s="22" t="s">
        <v>30</v>
      </c>
      <c r="G5" s="40">
        <f>SUM(G6:G31)</f>
        <v>54459.3</v>
      </c>
      <c r="H5" s="40" t="s">
        <v>30</v>
      </c>
      <c r="I5" s="38">
        <f>54459.3-G5</f>
        <v>0</v>
      </c>
      <c r="J5" s="13"/>
    </row>
    <row r="6" spans="1:9" s="14" customFormat="1" ht="63">
      <c r="A6" s="1">
        <v>1</v>
      </c>
      <c r="B6" s="3" t="s">
        <v>19</v>
      </c>
      <c r="C6" s="15" t="s">
        <v>222</v>
      </c>
      <c r="D6" s="20">
        <v>29900</v>
      </c>
      <c r="E6" s="20">
        <f>D6-467.592</f>
        <v>29432.408</v>
      </c>
      <c r="F6" s="9">
        <f aca="true" t="shared" si="0" ref="F6:F17">100-(E6/D6*100)</f>
        <v>1.5638528428093679</v>
      </c>
      <c r="G6" s="23">
        <v>2000</v>
      </c>
      <c r="H6" s="25" t="s">
        <v>223</v>
      </c>
      <c r="I6" s="7"/>
    </row>
    <row r="7" spans="1:9" s="14" customFormat="1" ht="189">
      <c r="A7" s="1">
        <v>2</v>
      </c>
      <c r="B7" s="3" t="s">
        <v>20</v>
      </c>
      <c r="C7" s="15" t="s">
        <v>34</v>
      </c>
      <c r="D7" s="20">
        <v>27620.08</v>
      </c>
      <c r="E7" s="20">
        <f>D7-79.166-2972.875</f>
        <v>24568.039</v>
      </c>
      <c r="F7" s="9">
        <f>100-(E7/D7*100)</f>
        <v>11.050080231483761</v>
      </c>
      <c r="G7" s="23">
        <f>8497.375-5000-1247.677</f>
        <v>2249.6980000000003</v>
      </c>
      <c r="H7" s="6" t="s">
        <v>59</v>
      </c>
      <c r="I7" s="7"/>
    </row>
    <row r="8" spans="1:9" s="14" customFormat="1" ht="110.25">
      <c r="A8" s="1">
        <v>3</v>
      </c>
      <c r="B8" s="3" t="s">
        <v>20</v>
      </c>
      <c r="C8" s="6" t="s">
        <v>21</v>
      </c>
      <c r="D8" s="20">
        <v>7706.785</v>
      </c>
      <c r="E8" s="20">
        <f>D8-95.619-4404.381</f>
        <v>3206.785</v>
      </c>
      <c r="F8" s="9">
        <f t="shared" si="0"/>
        <v>58.390106899310155</v>
      </c>
      <c r="G8" s="23">
        <v>3206.785</v>
      </c>
      <c r="H8" s="6" t="s">
        <v>48</v>
      </c>
      <c r="I8" s="7"/>
    </row>
    <row r="9" spans="1:9" s="14" customFormat="1" ht="63">
      <c r="A9" s="1">
        <v>4</v>
      </c>
      <c r="B9" s="3" t="s">
        <v>20</v>
      </c>
      <c r="C9" s="6" t="s">
        <v>85</v>
      </c>
      <c r="D9" s="20">
        <v>2865.725</v>
      </c>
      <c r="E9" s="20">
        <f>D9-88.6</f>
        <v>2777.125</v>
      </c>
      <c r="F9" s="9">
        <f t="shared" si="0"/>
        <v>3.0917132662764146</v>
      </c>
      <c r="G9" s="23">
        <v>2777.125</v>
      </c>
      <c r="H9" s="6" t="s">
        <v>149</v>
      </c>
      <c r="I9" s="7"/>
    </row>
    <row r="10" spans="1:9" s="14" customFormat="1" ht="47.25">
      <c r="A10" s="1">
        <v>5</v>
      </c>
      <c r="B10" s="3" t="s">
        <v>28</v>
      </c>
      <c r="C10" s="6" t="s">
        <v>62</v>
      </c>
      <c r="D10" s="20">
        <v>14117.909</v>
      </c>
      <c r="E10" s="20">
        <f>D10-2770</f>
        <v>11347.909</v>
      </c>
      <c r="F10" s="9">
        <f t="shared" si="0"/>
        <v>19.62046929187602</v>
      </c>
      <c r="G10" s="23">
        <f>4000-1000</f>
        <v>3000</v>
      </c>
      <c r="H10" s="6" t="s">
        <v>74</v>
      </c>
      <c r="I10" s="7"/>
    </row>
    <row r="11" spans="1:9" s="14" customFormat="1" ht="236.25">
      <c r="A11" s="1">
        <v>6</v>
      </c>
      <c r="B11" s="3" t="s">
        <v>28</v>
      </c>
      <c r="C11" s="15" t="s">
        <v>29</v>
      </c>
      <c r="D11" s="23">
        <v>70790.65</v>
      </c>
      <c r="E11" s="23">
        <f>D11-18842.403</f>
        <v>51948.246999999996</v>
      </c>
      <c r="F11" s="9">
        <f t="shared" si="0"/>
        <v>26.61707866787492</v>
      </c>
      <c r="G11" s="23">
        <f>5000-2000</f>
        <v>3000</v>
      </c>
      <c r="H11" s="6" t="s">
        <v>50</v>
      </c>
      <c r="I11" s="7"/>
    </row>
    <row r="12" spans="1:9" s="14" customFormat="1" ht="47.25">
      <c r="A12" s="1">
        <v>7</v>
      </c>
      <c r="B12" s="3" t="s">
        <v>28</v>
      </c>
      <c r="C12" s="15" t="s">
        <v>131</v>
      </c>
      <c r="D12" s="23">
        <v>599.399</v>
      </c>
      <c r="E12" s="23">
        <f>D12-13.02</f>
        <v>586.379</v>
      </c>
      <c r="F12" s="9">
        <f t="shared" si="0"/>
        <v>2.1721757960890784</v>
      </c>
      <c r="G12" s="23">
        <v>586.379</v>
      </c>
      <c r="H12" s="11" t="s">
        <v>219</v>
      </c>
      <c r="I12" s="32"/>
    </row>
    <row r="13" spans="1:9" s="14" customFormat="1" ht="78.75">
      <c r="A13" s="1">
        <v>8</v>
      </c>
      <c r="B13" s="3" t="s">
        <v>28</v>
      </c>
      <c r="C13" s="15" t="s">
        <v>132</v>
      </c>
      <c r="D13" s="23">
        <v>88.383</v>
      </c>
      <c r="E13" s="23">
        <f>D13-5.32</f>
        <v>83.06299999999999</v>
      </c>
      <c r="F13" s="9">
        <f t="shared" si="0"/>
        <v>6.019257096953041</v>
      </c>
      <c r="G13" s="23">
        <v>83.063</v>
      </c>
      <c r="H13" s="11" t="s">
        <v>220</v>
      </c>
      <c r="I13" s="32"/>
    </row>
    <row r="14" spans="1:9" s="14" customFormat="1" ht="78.75">
      <c r="A14" s="1">
        <v>9</v>
      </c>
      <c r="B14" s="3" t="s">
        <v>28</v>
      </c>
      <c r="C14" s="15" t="s">
        <v>135</v>
      </c>
      <c r="D14" s="23">
        <v>383.911</v>
      </c>
      <c r="E14" s="23">
        <f>D14-25.723</f>
        <v>358.188</v>
      </c>
      <c r="F14" s="9">
        <f t="shared" si="0"/>
        <v>6.700250839387252</v>
      </c>
      <c r="G14" s="23">
        <v>358.188</v>
      </c>
      <c r="H14" s="11" t="s">
        <v>136</v>
      </c>
      <c r="I14" s="32"/>
    </row>
    <row r="15" spans="1:9" s="14" customFormat="1" ht="47.25">
      <c r="A15" s="1">
        <v>10</v>
      </c>
      <c r="B15" s="3" t="s">
        <v>23</v>
      </c>
      <c r="C15" s="15" t="s">
        <v>35</v>
      </c>
      <c r="D15" s="20">
        <v>14260.633</v>
      </c>
      <c r="E15" s="20">
        <f>D15-21.353-13957.996</f>
        <v>281.28400000000147</v>
      </c>
      <c r="F15" s="9">
        <f t="shared" si="0"/>
        <v>98.02754898748182</v>
      </c>
      <c r="G15" s="23">
        <v>281.284</v>
      </c>
      <c r="H15" s="11" t="s">
        <v>38</v>
      </c>
      <c r="I15" s="4"/>
    </row>
    <row r="16" spans="1:9" s="14" customFormat="1" ht="78.75">
      <c r="A16" s="1">
        <v>11</v>
      </c>
      <c r="B16" s="3" t="s">
        <v>23</v>
      </c>
      <c r="C16" s="6" t="s">
        <v>54</v>
      </c>
      <c r="D16" s="23">
        <v>250</v>
      </c>
      <c r="E16" s="23">
        <f>D16</f>
        <v>250</v>
      </c>
      <c r="F16" s="9">
        <f t="shared" si="0"/>
        <v>0</v>
      </c>
      <c r="G16" s="23">
        <v>250</v>
      </c>
      <c r="H16" s="6" t="s">
        <v>171</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40</v>
      </c>
      <c r="C18" s="6" t="s">
        <v>65</v>
      </c>
      <c r="D18" s="7">
        <v>6400</v>
      </c>
      <c r="E18" s="7">
        <f>D18-238.796</f>
        <v>6161.204</v>
      </c>
      <c r="F18" s="9">
        <v>0</v>
      </c>
      <c r="G18" s="23">
        <v>3200</v>
      </c>
      <c r="H18" s="6" t="s">
        <v>180</v>
      </c>
      <c r="I18" s="4"/>
    </row>
    <row r="19" spans="1:9" s="14" customFormat="1" ht="63">
      <c r="A19" s="1">
        <v>14</v>
      </c>
      <c r="B19" s="3" t="s">
        <v>18</v>
      </c>
      <c r="C19" s="6" t="s">
        <v>67</v>
      </c>
      <c r="D19" s="20">
        <v>1946.149</v>
      </c>
      <c r="E19" s="20">
        <f>D19-93.871</f>
        <v>1852.2779999999998</v>
      </c>
      <c r="F19" s="9">
        <f>100-(E19/D19*100)</f>
        <v>4.8234230780890925</v>
      </c>
      <c r="G19" s="23">
        <v>1852.278</v>
      </c>
      <c r="H19" s="6" t="s">
        <v>72</v>
      </c>
      <c r="I19" s="4"/>
    </row>
    <row r="20" spans="1:9" s="14" customFormat="1" ht="63">
      <c r="A20" s="1">
        <v>15</v>
      </c>
      <c r="B20" s="3" t="s">
        <v>44</v>
      </c>
      <c r="C20" s="6" t="s">
        <v>45</v>
      </c>
      <c r="D20" s="20">
        <v>2779.035</v>
      </c>
      <c r="E20" s="20">
        <f>D20-317.247-24.521</f>
        <v>2437.267</v>
      </c>
      <c r="F20" s="9">
        <v>0</v>
      </c>
      <c r="G20" s="23">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8200</v>
      </c>
      <c r="E22" s="20">
        <f>D22-207.8</f>
        <v>7992.2</v>
      </c>
      <c r="F22" s="9">
        <f aca="true" t="shared" si="1" ref="F22:F30">100-(E22/D22*100)</f>
        <v>2.534146341463412</v>
      </c>
      <c r="G22" s="23">
        <v>2500</v>
      </c>
      <c r="H22" s="6" t="s">
        <v>181</v>
      </c>
      <c r="I22" s="18"/>
    </row>
    <row r="23" spans="1:9" s="14" customFormat="1" ht="78.75">
      <c r="A23" s="1">
        <v>18</v>
      </c>
      <c r="B23" s="3" t="s">
        <v>78</v>
      </c>
      <c r="C23" s="6" t="s">
        <v>69</v>
      </c>
      <c r="D23" s="20">
        <v>290.702</v>
      </c>
      <c r="E23" s="20">
        <f>D23-4.388</f>
        <v>286.314</v>
      </c>
      <c r="F23" s="9">
        <f t="shared" si="1"/>
        <v>1.5094495393908574</v>
      </c>
      <c r="G23" s="23">
        <v>286.314</v>
      </c>
      <c r="H23" s="6" t="s">
        <v>70</v>
      </c>
      <c r="I23" s="18"/>
    </row>
    <row r="24" spans="1:9" s="14" customFormat="1" ht="110.25">
      <c r="A24" s="1">
        <v>19</v>
      </c>
      <c r="B24" s="3" t="s">
        <v>78</v>
      </c>
      <c r="C24" s="6" t="s">
        <v>215</v>
      </c>
      <c r="D24" s="20">
        <f>297.072+600-32.592</f>
        <v>864.48</v>
      </c>
      <c r="E24" s="20">
        <f>D24-30.259-234.221</f>
        <v>600</v>
      </c>
      <c r="F24" s="9">
        <f>100-(E24/D24*100)</f>
        <v>30.594114380899512</v>
      </c>
      <c r="G24" s="23">
        <v>600</v>
      </c>
      <c r="H24" s="6" t="s">
        <v>216</v>
      </c>
      <c r="I24" s="4"/>
    </row>
    <row r="25" spans="1:9" s="14" customFormat="1" ht="47.25">
      <c r="A25" s="1">
        <v>20</v>
      </c>
      <c r="B25" s="3" t="s">
        <v>126</v>
      </c>
      <c r="C25" s="6" t="s">
        <v>190</v>
      </c>
      <c r="D25" s="20">
        <v>2497.638</v>
      </c>
      <c r="E25" s="20">
        <f>D25-47.473</f>
        <v>2450.165</v>
      </c>
      <c r="F25" s="9">
        <f t="shared" si="1"/>
        <v>1.9007157962843308</v>
      </c>
      <c r="G25" s="23">
        <v>2450.165</v>
      </c>
      <c r="H25" s="6" t="s">
        <v>189</v>
      </c>
      <c r="I25" s="18"/>
    </row>
    <row r="26" spans="1:9" s="14" customFormat="1" ht="94.5">
      <c r="A26" s="1">
        <v>21</v>
      </c>
      <c r="B26" s="3" t="s">
        <v>120</v>
      </c>
      <c r="C26" s="6" t="s">
        <v>122</v>
      </c>
      <c r="D26" s="7">
        <v>700</v>
      </c>
      <c r="E26" s="7">
        <f>D26</f>
        <v>700</v>
      </c>
      <c r="F26" s="9">
        <f t="shared" si="1"/>
        <v>0</v>
      </c>
      <c r="G26" s="23">
        <v>700</v>
      </c>
      <c r="H26" s="24" t="s">
        <v>202</v>
      </c>
      <c r="I26" s="4"/>
    </row>
    <row r="27" spans="1:9" s="14" customFormat="1" ht="94.5">
      <c r="A27" s="1">
        <v>22</v>
      </c>
      <c r="B27" s="3" t="s">
        <v>218</v>
      </c>
      <c r="C27" s="6" t="s">
        <v>114</v>
      </c>
      <c r="D27" s="20">
        <f>9459.785+7000-369.681</f>
        <v>16090.104</v>
      </c>
      <c r="E27" s="20">
        <f>D27-9090.104</f>
        <v>7000</v>
      </c>
      <c r="F27" s="9">
        <f>100-(E27/D27*100)</f>
        <v>56.49499841641794</v>
      </c>
      <c r="G27" s="23">
        <v>7000</v>
      </c>
      <c r="H27" s="6" t="s">
        <v>207</v>
      </c>
      <c r="I27" s="4"/>
    </row>
    <row r="28" spans="1:9" s="14" customFormat="1" ht="63">
      <c r="A28" s="1">
        <v>23</v>
      </c>
      <c r="B28" s="3" t="s">
        <v>27</v>
      </c>
      <c r="C28" s="6" t="s">
        <v>61</v>
      </c>
      <c r="D28" s="20">
        <v>4691.8</v>
      </c>
      <c r="E28" s="20">
        <f>4691.8-1520</f>
        <v>3171.8</v>
      </c>
      <c r="F28" s="9">
        <f t="shared" si="1"/>
        <v>32.396947866490464</v>
      </c>
      <c r="G28" s="23">
        <v>3171.8</v>
      </c>
      <c r="H28" s="6" t="s">
        <v>47</v>
      </c>
      <c r="I28" s="4"/>
    </row>
    <row r="29" spans="1:9" s="14" customFormat="1" ht="63">
      <c r="A29" s="1">
        <v>24</v>
      </c>
      <c r="B29" s="3" t="s">
        <v>27</v>
      </c>
      <c r="C29" s="6" t="s">
        <v>76</v>
      </c>
      <c r="D29" s="20">
        <v>8500</v>
      </c>
      <c r="E29" s="20">
        <f>D29-400.791</f>
        <v>8099.209</v>
      </c>
      <c r="F29" s="9">
        <f t="shared" si="1"/>
        <v>4.7151882352941215</v>
      </c>
      <c r="G29" s="23">
        <v>8099.209</v>
      </c>
      <c r="H29" s="6" t="s">
        <v>206</v>
      </c>
      <c r="I29" s="4"/>
    </row>
    <row r="30" spans="1:9" s="14" customFormat="1" ht="110.25">
      <c r="A30" s="1">
        <v>25</v>
      </c>
      <c r="B30" s="3" t="s">
        <v>27</v>
      </c>
      <c r="C30" s="6" t="s">
        <v>0</v>
      </c>
      <c r="D30" s="20">
        <v>700</v>
      </c>
      <c r="E30" s="20">
        <f>D30</f>
        <v>700</v>
      </c>
      <c r="F30" s="9">
        <f t="shared" si="1"/>
        <v>0</v>
      </c>
      <c r="G30" s="23">
        <v>700</v>
      </c>
      <c r="H30" s="24" t="s">
        <v>202</v>
      </c>
      <c r="I30" s="4"/>
    </row>
    <row r="31" spans="1:9" s="14" customFormat="1" ht="63">
      <c r="A31" s="1">
        <v>26</v>
      </c>
      <c r="B31" s="3" t="s">
        <v>24</v>
      </c>
      <c r="C31" s="6" t="s">
        <v>63</v>
      </c>
      <c r="D31" s="20">
        <v>4771.333</v>
      </c>
      <c r="E31" s="20">
        <f>D31-1660</f>
        <v>3111.3329999999996</v>
      </c>
      <c r="F31" s="9">
        <f>100-(E31/D31*100)</f>
        <v>34.79111602564734</v>
      </c>
      <c r="G31" s="23">
        <v>3111.3</v>
      </c>
      <c r="H31" s="11" t="s">
        <v>73</v>
      </c>
      <c r="I31" s="4"/>
    </row>
    <row r="34" spans="2:10" ht="40.5" customHeight="1">
      <c r="B34" s="149" t="s">
        <v>39</v>
      </c>
      <c r="C34" s="149"/>
      <c r="D34" s="149"/>
      <c r="E34" s="149"/>
      <c r="H34" s="18" t="s">
        <v>31</v>
      </c>
      <c r="J34" s="18"/>
    </row>
    <row r="35" spans="8:10" ht="15.75">
      <c r="H35" s="18"/>
      <c r="J35" s="18"/>
    </row>
    <row r="36" spans="1:3" ht="15.75">
      <c r="A36" s="18"/>
      <c r="C36" s="19" t="s">
        <v>32</v>
      </c>
    </row>
  </sheetData>
  <sheetProtection/>
  <mergeCells count="2">
    <mergeCell ref="A1:H1"/>
    <mergeCell ref="B34:E34"/>
  </mergeCells>
  <printOptions/>
  <pageMargins left="0.2755905511811024" right="0.2" top="0.3" bottom="0.23" header="0.27" footer="0.15748031496062992"/>
  <pageSetup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rgb="FFC00000"/>
  </sheetPr>
  <dimension ref="A1:J34"/>
  <sheetViews>
    <sheetView zoomScale="70" zoomScaleNormal="70" zoomScaleSheetLayoutView="50" zoomScalePageLayoutView="0" workbookViewId="0" topLeftCell="A3">
      <pane xSplit="3" ySplit="2" topLeftCell="D24"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48" t="s">
        <v>248</v>
      </c>
      <c r="B1" s="148"/>
      <c r="C1" s="148"/>
      <c r="D1" s="148"/>
      <c r="E1" s="148"/>
      <c r="F1" s="148"/>
      <c r="G1" s="148"/>
      <c r="H1" s="148"/>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SUM(D6:D29)</f>
        <v>212723.78</v>
      </c>
      <c r="E5" s="22">
        <f>SUM(E6:E29)</f>
        <v>168809.61000000004</v>
      </c>
      <c r="F5" s="22" t="s">
        <v>30</v>
      </c>
      <c r="G5" s="40">
        <f>SUM(G6:G29)</f>
        <v>56748.3</v>
      </c>
      <c r="H5" s="40" t="s">
        <v>30</v>
      </c>
      <c r="I5" s="38">
        <f>54459.3-G5</f>
        <v>-2289</v>
      </c>
      <c r="J5" s="13"/>
    </row>
    <row r="6" spans="1:10" ht="94.5">
      <c r="A6" s="1">
        <v>1</v>
      </c>
      <c r="B6" s="50" t="s">
        <v>19</v>
      </c>
      <c r="C6" s="51" t="s">
        <v>235</v>
      </c>
      <c r="D6" s="20"/>
      <c r="E6" s="20"/>
      <c r="F6" s="20"/>
      <c r="G6" s="23">
        <v>1289</v>
      </c>
      <c r="H6" s="40"/>
      <c r="I6" s="38"/>
      <c r="J6" s="13"/>
    </row>
    <row r="7" spans="1:9" s="14" customFormat="1" ht="63">
      <c r="A7" s="1">
        <v>2</v>
      </c>
      <c r="B7" s="3" t="s">
        <v>19</v>
      </c>
      <c r="C7" s="15" t="s">
        <v>222</v>
      </c>
      <c r="D7" s="20">
        <v>29900</v>
      </c>
      <c r="E7" s="20">
        <f>D7-467.592</f>
        <v>29432.408</v>
      </c>
      <c r="F7" s="9">
        <f aca="true" t="shared" si="0" ref="F7:F29">100-(E7/D7*100)</f>
        <v>1.5638528428093679</v>
      </c>
      <c r="G7" s="23">
        <v>4106.392</v>
      </c>
      <c r="H7" s="25" t="s">
        <v>237</v>
      </c>
      <c r="I7" s="7"/>
    </row>
    <row r="8" spans="1:9" s="14" customFormat="1" ht="141.75">
      <c r="A8" s="1">
        <v>3</v>
      </c>
      <c r="B8" s="3" t="s">
        <v>20</v>
      </c>
      <c r="C8" s="15" t="s">
        <v>34</v>
      </c>
      <c r="D8" s="20">
        <v>27620.08</v>
      </c>
      <c r="E8" s="20">
        <f>D8-79.166-2972.875</f>
        <v>24568.039</v>
      </c>
      <c r="F8" s="9">
        <f t="shared" si="0"/>
        <v>11.050080231483761</v>
      </c>
      <c r="G8" s="23">
        <f>8497.375-5000-1247.677</f>
        <v>2249.6980000000003</v>
      </c>
      <c r="H8" s="6" t="s">
        <v>228</v>
      </c>
      <c r="I8" s="7"/>
    </row>
    <row r="9" spans="1:9" s="14" customFormat="1" ht="110.25">
      <c r="A9" s="1">
        <v>4</v>
      </c>
      <c r="B9" s="3" t="s">
        <v>20</v>
      </c>
      <c r="C9" s="6" t="s">
        <v>21</v>
      </c>
      <c r="D9" s="20">
        <v>7706.785</v>
      </c>
      <c r="E9" s="20">
        <f>D9-95.619-4404.381</f>
        <v>3206.785</v>
      </c>
      <c r="F9" s="9">
        <f t="shared" si="0"/>
        <v>58.390106899310155</v>
      </c>
      <c r="G9" s="23">
        <v>3206.785</v>
      </c>
      <c r="H9" s="6" t="s">
        <v>48</v>
      </c>
      <c r="I9" s="7"/>
    </row>
    <row r="10" spans="1:9" s="14" customFormat="1" ht="126">
      <c r="A10" s="1">
        <v>5</v>
      </c>
      <c r="B10" s="3" t="s">
        <v>20</v>
      </c>
      <c r="C10" s="6" t="s">
        <v>85</v>
      </c>
      <c r="D10" s="20">
        <v>2865.725</v>
      </c>
      <c r="E10" s="20">
        <f>D10-88.6</f>
        <v>2777.125</v>
      </c>
      <c r="F10" s="9">
        <f t="shared" si="0"/>
        <v>3.0917132662764146</v>
      </c>
      <c r="G10" s="23">
        <v>2777.125</v>
      </c>
      <c r="H10" s="6" t="s">
        <v>240</v>
      </c>
      <c r="I10" s="7"/>
    </row>
    <row r="11" spans="1:9" s="14" customFormat="1" ht="47.25">
      <c r="A11" s="1">
        <v>6</v>
      </c>
      <c r="B11" s="3" t="s">
        <v>28</v>
      </c>
      <c r="C11" s="6" t="s">
        <v>62</v>
      </c>
      <c r="D11" s="20">
        <v>14117.909</v>
      </c>
      <c r="E11" s="20">
        <f>D11-2770</f>
        <v>11347.909</v>
      </c>
      <c r="F11" s="9">
        <f t="shared" si="0"/>
        <v>19.62046929187602</v>
      </c>
      <c r="G11" s="23">
        <f>4000-1000</f>
        <v>3000</v>
      </c>
      <c r="H11" s="6" t="s">
        <v>229</v>
      </c>
      <c r="I11" s="7"/>
    </row>
    <row r="12" spans="1:9" s="14" customFormat="1" ht="63">
      <c r="A12" s="1">
        <v>7</v>
      </c>
      <c r="B12" s="3" t="s">
        <v>28</v>
      </c>
      <c r="C12" s="15" t="s">
        <v>29</v>
      </c>
      <c r="D12" s="23">
        <v>70790.65</v>
      </c>
      <c r="E12" s="23">
        <f>D12-18842.403</f>
        <v>51948.246999999996</v>
      </c>
      <c r="F12" s="9">
        <f t="shared" si="0"/>
        <v>26.61707866787492</v>
      </c>
      <c r="G12" s="23">
        <f>5000-2000</f>
        <v>3000</v>
      </c>
      <c r="H12" s="6" t="s">
        <v>236</v>
      </c>
      <c r="I12" s="7"/>
    </row>
    <row r="13" spans="1:9" s="14" customFormat="1" ht="47.25">
      <c r="A13" s="1">
        <v>8</v>
      </c>
      <c r="B13" s="3" t="s">
        <v>28</v>
      </c>
      <c r="C13" s="15" t="s">
        <v>131</v>
      </c>
      <c r="D13" s="23">
        <v>599.399</v>
      </c>
      <c r="E13" s="23">
        <f>D13-13.02</f>
        <v>586.379</v>
      </c>
      <c r="F13" s="9">
        <f t="shared" si="0"/>
        <v>2.1721757960890784</v>
      </c>
      <c r="G13" s="23">
        <v>586.379</v>
      </c>
      <c r="H13" s="11" t="s">
        <v>219</v>
      </c>
      <c r="I13" s="32"/>
    </row>
    <row r="14" spans="1:9" s="14" customFormat="1" ht="78.75">
      <c r="A14" s="1">
        <v>9</v>
      </c>
      <c r="B14" s="3" t="s">
        <v>28</v>
      </c>
      <c r="C14" s="15" t="s">
        <v>249</v>
      </c>
      <c r="D14" s="23">
        <v>88.383</v>
      </c>
      <c r="E14" s="23">
        <f>D14-5.32</f>
        <v>83.06299999999999</v>
      </c>
      <c r="F14" s="9">
        <f t="shared" si="0"/>
        <v>6.019257096953041</v>
      </c>
      <c r="G14" s="23">
        <v>83.063</v>
      </c>
      <c r="H14" s="11" t="s">
        <v>220</v>
      </c>
      <c r="I14" s="32"/>
    </row>
    <row r="15" spans="1:9" s="14" customFormat="1" ht="78.75">
      <c r="A15" s="1">
        <v>10</v>
      </c>
      <c r="B15" s="3" t="s">
        <v>28</v>
      </c>
      <c r="C15" s="15" t="s">
        <v>135</v>
      </c>
      <c r="D15" s="23">
        <v>383.911</v>
      </c>
      <c r="E15" s="23">
        <f>D15-25.723</f>
        <v>358.188</v>
      </c>
      <c r="F15" s="9">
        <f t="shared" si="0"/>
        <v>6.700250839387252</v>
      </c>
      <c r="G15" s="23">
        <v>358.188</v>
      </c>
      <c r="H15" s="11" t="s">
        <v>136</v>
      </c>
      <c r="I15" s="32"/>
    </row>
    <row r="16" spans="1:9" s="14" customFormat="1" ht="141.75">
      <c r="A16" s="1">
        <v>11</v>
      </c>
      <c r="B16" s="3" t="s">
        <v>23</v>
      </c>
      <c r="C16" s="6" t="s">
        <v>7</v>
      </c>
      <c r="D16" s="28">
        <v>424.892</v>
      </c>
      <c r="E16" s="28">
        <f>D16</f>
        <v>424.892</v>
      </c>
      <c r="F16" s="9">
        <f t="shared" si="0"/>
        <v>0</v>
      </c>
      <c r="G16" s="23">
        <v>424.892</v>
      </c>
      <c r="H16" s="6" t="s">
        <v>238</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18</v>
      </c>
      <c r="C18" s="6" t="s">
        <v>244</v>
      </c>
      <c r="D18" s="20">
        <v>1946.149</v>
      </c>
      <c r="E18" s="20">
        <f>D18-93.871</f>
        <v>1852.2779999999998</v>
      </c>
      <c r="F18" s="9">
        <f>100-(E18/D18*100)</f>
        <v>4.8234230780890925</v>
      </c>
      <c r="G18" s="23">
        <v>1852.278</v>
      </c>
      <c r="H18" s="6" t="s">
        <v>72</v>
      </c>
      <c r="I18" s="4"/>
    </row>
    <row r="19" spans="1:9" s="14" customFormat="1" ht="63">
      <c r="A19" s="1">
        <v>14</v>
      </c>
      <c r="B19" s="3" t="s">
        <v>40</v>
      </c>
      <c r="C19" s="6" t="s">
        <v>230</v>
      </c>
      <c r="D19" s="7">
        <v>6356.36</v>
      </c>
      <c r="E19" s="7">
        <f>D19-238.796</f>
        <v>6117.563999999999</v>
      </c>
      <c r="F19" s="9">
        <f t="shared" si="0"/>
        <v>3.756804208698057</v>
      </c>
      <c r="G19" s="23">
        <v>3200</v>
      </c>
      <c r="H19" s="6" t="s">
        <v>231</v>
      </c>
      <c r="I19" s="4"/>
    </row>
    <row r="20" spans="1:9" s="14" customFormat="1" ht="63">
      <c r="A20" s="1">
        <v>15</v>
      </c>
      <c r="B20" s="3" t="s">
        <v>44</v>
      </c>
      <c r="C20" s="6" t="s">
        <v>45</v>
      </c>
      <c r="D20" s="20">
        <v>2779.035</v>
      </c>
      <c r="E20" s="20">
        <f>D20-317.247-24.521</f>
        <v>2437.267</v>
      </c>
      <c r="F20" s="9">
        <f t="shared" si="0"/>
        <v>12.298081888137432</v>
      </c>
      <c r="G20" s="23">
        <v>2437.267</v>
      </c>
      <c r="H20" s="6" t="s">
        <v>46</v>
      </c>
      <c r="I20" s="18"/>
    </row>
    <row r="21" spans="1:9" s="14" customFormat="1" ht="78.75">
      <c r="A21" s="1">
        <v>16</v>
      </c>
      <c r="B21" s="3" t="s">
        <v>42</v>
      </c>
      <c r="C21" s="6" t="s">
        <v>233</v>
      </c>
      <c r="D21" s="20">
        <v>8200</v>
      </c>
      <c r="E21" s="20">
        <f>D21-207.8</f>
        <v>7992.2</v>
      </c>
      <c r="F21" s="9">
        <f t="shared" si="0"/>
        <v>2.534146341463412</v>
      </c>
      <c r="G21" s="23">
        <v>2500</v>
      </c>
      <c r="H21" s="6" t="s">
        <v>232</v>
      </c>
      <c r="I21" s="18"/>
    </row>
    <row r="22" spans="1:9" s="14" customFormat="1" ht="78.75">
      <c r="A22" s="1">
        <v>17</v>
      </c>
      <c r="B22" s="3" t="s">
        <v>78</v>
      </c>
      <c r="C22" s="6" t="s">
        <v>69</v>
      </c>
      <c r="D22" s="20">
        <v>290.702</v>
      </c>
      <c r="E22" s="20">
        <f>D22-4.388</f>
        <v>286.314</v>
      </c>
      <c r="F22" s="9">
        <f t="shared" si="0"/>
        <v>1.5094495393908574</v>
      </c>
      <c r="G22" s="23">
        <v>286.314</v>
      </c>
      <c r="H22" s="6" t="s">
        <v>70</v>
      </c>
      <c r="I22" s="18"/>
    </row>
    <row r="23" spans="1:9" s="14" customFormat="1" ht="110.25">
      <c r="A23" s="1">
        <v>18</v>
      </c>
      <c r="B23" s="3" t="s">
        <v>78</v>
      </c>
      <c r="C23" s="6" t="s">
        <v>215</v>
      </c>
      <c r="D23" s="20">
        <f>297.072+600-32.592</f>
        <v>864.48</v>
      </c>
      <c r="E23" s="20">
        <f>D23-30.259-234.221</f>
        <v>600</v>
      </c>
      <c r="F23" s="9">
        <f t="shared" si="0"/>
        <v>30.594114380899512</v>
      </c>
      <c r="G23" s="23">
        <v>600</v>
      </c>
      <c r="H23" s="6" t="s">
        <v>216</v>
      </c>
      <c r="I23" s="4"/>
    </row>
    <row r="24" spans="1:9" s="14" customFormat="1" ht="47.25">
      <c r="A24" s="1">
        <v>19</v>
      </c>
      <c r="B24" s="3" t="s">
        <v>243</v>
      </c>
      <c r="C24" s="6" t="s">
        <v>245</v>
      </c>
      <c r="D24" s="20">
        <v>2497.638</v>
      </c>
      <c r="E24" s="20">
        <f>D24-47.473</f>
        <v>2450.165</v>
      </c>
      <c r="F24" s="9">
        <f t="shared" si="0"/>
        <v>1.9007157962843308</v>
      </c>
      <c r="G24" s="23">
        <v>2450.165</v>
      </c>
      <c r="H24" s="6" t="s">
        <v>189</v>
      </c>
      <c r="I24" s="18"/>
    </row>
    <row r="25" spans="1:9" s="14" customFormat="1" ht="94.5">
      <c r="A25" s="1">
        <v>20</v>
      </c>
      <c r="B25" s="3" t="s">
        <v>120</v>
      </c>
      <c r="C25" s="6" t="s">
        <v>122</v>
      </c>
      <c r="D25" s="7">
        <v>700</v>
      </c>
      <c r="E25" s="7">
        <f>D25</f>
        <v>700</v>
      </c>
      <c r="F25" s="9">
        <f t="shared" si="0"/>
        <v>0</v>
      </c>
      <c r="G25" s="23">
        <v>700</v>
      </c>
      <c r="H25" s="6" t="s">
        <v>202</v>
      </c>
      <c r="I25" s="4"/>
    </row>
    <row r="26" spans="1:9" s="14" customFormat="1" ht="94.5">
      <c r="A26" s="1">
        <v>21</v>
      </c>
      <c r="B26" s="3" t="s">
        <v>218</v>
      </c>
      <c r="C26" s="6" t="s">
        <v>247</v>
      </c>
      <c r="D26" s="20">
        <f>9459.785+7000-369.681</f>
        <v>16090.104</v>
      </c>
      <c r="E26" s="20">
        <f>D26-9090.104</f>
        <v>7000</v>
      </c>
      <c r="F26" s="9">
        <f t="shared" si="0"/>
        <v>56.49499841641794</v>
      </c>
      <c r="G26" s="23">
        <v>7000</v>
      </c>
      <c r="H26" s="6" t="s">
        <v>239</v>
      </c>
      <c r="I26" s="4"/>
    </row>
    <row r="27" spans="1:9" s="14" customFormat="1" ht="63">
      <c r="A27" s="1">
        <v>22</v>
      </c>
      <c r="B27" s="3" t="s">
        <v>27</v>
      </c>
      <c r="C27" s="6" t="s">
        <v>61</v>
      </c>
      <c r="D27" s="20">
        <v>4691.8</v>
      </c>
      <c r="E27" s="20">
        <f>4691.8-1520</f>
        <v>3171.8</v>
      </c>
      <c r="F27" s="9">
        <f t="shared" si="0"/>
        <v>32.396947866490464</v>
      </c>
      <c r="G27" s="23">
        <v>3171.8</v>
      </c>
      <c r="H27" s="6" t="s">
        <v>47</v>
      </c>
      <c r="I27" s="4"/>
    </row>
    <row r="28" spans="1:9" s="14" customFormat="1" ht="63">
      <c r="A28" s="1">
        <v>23</v>
      </c>
      <c r="B28" s="3" t="s">
        <v>27</v>
      </c>
      <c r="C28" s="6" t="s">
        <v>76</v>
      </c>
      <c r="D28" s="20">
        <v>8500</v>
      </c>
      <c r="E28" s="20">
        <f>D28-400.791</f>
        <v>8099.209</v>
      </c>
      <c r="F28" s="9">
        <f t="shared" si="0"/>
        <v>4.7151882352941215</v>
      </c>
      <c r="G28" s="23">
        <v>8099.209</v>
      </c>
      <c r="H28" s="6" t="s">
        <v>234</v>
      </c>
      <c r="I28" s="4"/>
    </row>
    <row r="29" spans="1:9" s="14" customFormat="1" ht="63">
      <c r="A29" s="1">
        <v>24</v>
      </c>
      <c r="B29" s="3" t="s">
        <v>24</v>
      </c>
      <c r="C29" s="6" t="s">
        <v>63</v>
      </c>
      <c r="D29" s="20">
        <v>4771.333</v>
      </c>
      <c r="E29" s="20">
        <f>D29-1660</f>
        <v>3111.3329999999996</v>
      </c>
      <c r="F29" s="9">
        <f t="shared" si="0"/>
        <v>34.79111602564734</v>
      </c>
      <c r="G29" s="23">
        <v>3111.3</v>
      </c>
      <c r="H29" s="11" t="s">
        <v>73</v>
      </c>
      <c r="I29" s="4"/>
    </row>
    <row r="32" spans="2:10" ht="40.5" customHeight="1">
      <c r="B32" s="149" t="s">
        <v>39</v>
      </c>
      <c r="C32" s="149"/>
      <c r="D32" s="149"/>
      <c r="E32" s="149"/>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sheetPr>
  <dimension ref="A1:T54"/>
  <sheetViews>
    <sheetView zoomScale="70" zoomScaleNormal="70" zoomScaleSheetLayoutView="55" zoomScalePageLayoutView="0" workbookViewId="0" topLeftCell="A3">
      <pane xSplit="3" ySplit="3" topLeftCell="H45" activePane="bottomRight" state="frozen"/>
      <selection pane="topLeft" activeCell="A3" sqref="A3"/>
      <selection pane="topRight" activeCell="D3" sqref="D3"/>
      <selection pane="bottomLeft" activeCell="A5" sqref="A5"/>
      <selection pane="bottomRight" activeCell="I47" sqref="I47"/>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0.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48" t="s">
        <v>260</v>
      </c>
      <c r="B1" s="148"/>
      <c r="C1" s="148"/>
      <c r="D1" s="148"/>
      <c r="E1" s="148"/>
      <c r="F1" s="148"/>
      <c r="G1" s="148"/>
      <c r="H1" s="148"/>
      <c r="I1" s="148"/>
      <c r="J1" s="148"/>
      <c r="K1" s="148"/>
      <c r="L1" s="148"/>
      <c r="M1" s="148"/>
      <c r="N1" s="148"/>
      <c r="O1" s="148"/>
      <c r="P1" s="148"/>
      <c r="Q1" s="148"/>
      <c r="R1" s="148"/>
      <c r="S1" s="148"/>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50" t="s">
        <v>12</v>
      </c>
      <c r="B3" s="150" t="s">
        <v>254</v>
      </c>
      <c r="C3" s="150" t="s">
        <v>256</v>
      </c>
      <c r="D3" s="150" t="s">
        <v>269</v>
      </c>
      <c r="E3" s="150" t="s">
        <v>258</v>
      </c>
      <c r="F3" s="150" t="s">
        <v>259</v>
      </c>
      <c r="G3" s="150" t="s">
        <v>257</v>
      </c>
      <c r="H3" s="150" t="s">
        <v>250</v>
      </c>
      <c r="I3" s="150" t="s">
        <v>11</v>
      </c>
      <c r="J3" s="150" t="s">
        <v>251</v>
      </c>
      <c r="K3" s="150" t="s">
        <v>16</v>
      </c>
      <c r="L3" s="152" t="s">
        <v>241</v>
      </c>
      <c r="M3" s="153"/>
      <c r="N3" s="53" t="s">
        <v>252</v>
      </c>
      <c r="O3" s="154" t="s">
        <v>242</v>
      </c>
      <c r="P3" s="155"/>
      <c r="Q3" s="154" t="s">
        <v>253</v>
      </c>
      <c r="R3" s="155"/>
      <c r="S3" s="150" t="s">
        <v>255</v>
      </c>
    </row>
    <row r="4" spans="1:19" s="54" customFormat="1" ht="129.75" customHeight="1">
      <c r="A4" s="151"/>
      <c r="B4" s="151"/>
      <c r="C4" s="151"/>
      <c r="D4" s="151"/>
      <c r="E4" s="151"/>
      <c r="F4" s="151"/>
      <c r="G4" s="151"/>
      <c r="H4" s="151"/>
      <c r="I4" s="151"/>
      <c r="J4" s="151"/>
      <c r="K4" s="151"/>
      <c r="L4" s="53" t="s">
        <v>273</v>
      </c>
      <c r="M4" s="60" t="s">
        <v>274</v>
      </c>
      <c r="N4" s="53"/>
      <c r="O4" s="75" t="s">
        <v>273</v>
      </c>
      <c r="P4" s="76" t="s">
        <v>274</v>
      </c>
      <c r="Q4" s="75" t="s">
        <v>273</v>
      </c>
      <c r="R4" s="76" t="s">
        <v>274</v>
      </c>
      <c r="S4" s="151"/>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I7+I16+I28+I37+I44+I49</f>
        <v>428553.76599999995</v>
      </c>
      <c r="J6" s="22">
        <f>J7+J16+J28+J37+J44+J49</f>
        <v>337047.57009</v>
      </c>
      <c r="K6" s="22" t="s">
        <v>30</v>
      </c>
      <c r="L6" s="22">
        <f aca="true" t="shared" si="0" ref="L6:R6">L7+L16+L28+L37+L44+L49</f>
        <v>356956</v>
      </c>
      <c r="M6" s="22">
        <f t="shared" si="0"/>
        <v>2144</v>
      </c>
      <c r="N6" s="22">
        <f t="shared" si="0"/>
        <v>0</v>
      </c>
      <c r="O6" s="22">
        <f t="shared" si="0"/>
        <v>188993.915</v>
      </c>
      <c r="P6" s="22">
        <f t="shared" si="0"/>
        <v>0</v>
      </c>
      <c r="Q6" s="22">
        <f t="shared" si="0"/>
        <v>28802.384999999995</v>
      </c>
      <c r="R6" s="22">
        <f t="shared" si="0"/>
        <v>0</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1" ref="L7:R7">SUM(L8:L15)</f>
        <v>42947.128</v>
      </c>
      <c r="M7" s="72">
        <f t="shared" si="1"/>
        <v>0</v>
      </c>
      <c r="N7" s="72">
        <f t="shared" si="1"/>
        <v>0</v>
      </c>
      <c r="O7" s="72">
        <f t="shared" si="1"/>
        <v>13514.365000000005</v>
      </c>
      <c r="P7" s="72">
        <f t="shared" si="1"/>
        <v>0</v>
      </c>
      <c r="Q7" s="72">
        <f t="shared" si="1"/>
        <v>0</v>
      </c>
      <c r="R7" s="72">
        <f t="shared" si="1"/>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2" ref="K8:K15">100-(J8/I8*100)</f>
        <v>46.927598895775624</v>
      </c>
      <c r="L8" s="23">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2"/>
        <v>72.0661730014534</v>
      </c>
      <c r="L9" s="23">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2"/>
        <v>28.191480595427947</v>
      </c>
      <c r="L10" s="23">
        <v>13500</v>
      </c>
      <c r="M10" s="23"/>
      <c r="N10" s="23"/>
      <c r="O10" s="23">
        <f>J10-L10</f>
        <v>13514.365000000005</v>
      </c>
      <c r="P10" s="23"/>
      <c r="Q10" s="23"/>
      <c r="R10" s="23"/>
      <c r="S10" s="25" t="s">
        <v>407</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2"/>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2"/>
        <v>10.89108910891089</v>
      </c>
      <c r="L12" s="23">
        <v>4500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23">
        <f>I13-83.924</f>
        <v>3421.468</v>
      </c>
      <c r="K13" s="29">
        <f t="shared" si="2"/>
        <v>2.394140227398239</v>
      </c>
      <c r="L13" s="23">
        <v>3421.468</v>
      </c>
      <c r="M13" s="23"/>
      <c r="N13" s="23"/>
      <c r="O13" s="23"/>
      <c r="P13" s="23"/>
      <c r="Q13" s="23"/>
      <c r="R13" s="23"/>
      <c r="S13" s="74" t="s">
        <v>287</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2"/>
        <v>41.69507317073171</v>
      </c>
      <c r="L14" s="23">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2"/>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SUM(I17:I27)</f>
        <v>144592.581</v>
      </c>
      <c r="J16" s="72">
        <f>SUM(J17:J27)</f>
        <v>122094.93299999999</v>
      </c>
      <c r="K16" s="72" t="s">
        <v>30</v>
      </c>
      <c r="L16" s="72">
        <f aca="true" t="shared" si="3" ref="L16:R16">SUM(L17:L27)</f>
        <v>61399.14</v>
      </c>
      <c r="M16" s="72">
        <f t="shared" si="3"/>
        <v>1824</v>
      </c>
      <c r="N16" s="72">
        <f t="shared" si="3"/>
        <v>0</v>
      </c>
      <c r="O16" s="72">
        <f t="shared" si="3"/>
        <v>60695.79299999999</v>
      </c>
      <c r="P16" s="72">
        <f t="shared" si="3"/>
        <v>0</v>
      </c>
      <c r="Q16" s="72">
        <f t="shared" si="3"/>
        <v>0</v>
      </c>
      <c r="R16" s="72">
        <f t="shared" si="3"/>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 aca="true" t="shared" si="4" ref="K17:K27">100-(J17/I17*100)</f>
        <v>30.854926462746135</v>
      </c>
      <c r="L17" s="23">
        <v>4000</v>
      </c>
      <c r="M17" s="23"/>
      <c r="N17" s="23"/>
      <c r="O17" s="23">
        <f>J17-L17</f>
        <v>44948.246999999996</v>
      </c>
      <c r="P17" s="23"/>
      <c r="Q17" s="23"/>
      <c r="R17" s="23"/>
      <c r="S17" s="6" t="s">
        <v>445</v>
      </c>
    </row>
    <row r="18" spans="1:19" s="52" customFormat="1" ht="63">
      <c r="A18" s="61">
        <v>2</v>
      </c>
      <c r="B18" s="43" t="s">
        <v>396</v>
      </c>
      <c r="C18" s="25" t="s">
        <v>379</v>
      </c>
      <c r="D18" s="66" t="s">
        <v>270</v>
      </c>
      <c r="E18" s="64" t="s">
        <v>397</v>
      </c>
      <c r="F18" s="64"/>
      <c r="G18" s="64"/>
      <c r="H18" s="55"/>
      <c r="I18" s="23">
        <f>550+4.388</f>
        <v>554.388</v>
      </c>
      <c r="J18" s="23">
        <f>I18-4.388</f>
        <v>550</v>
      </c>
      <c r="K18" s="29">
        <f t="shared" si="4"/>
        <v>0.7915034235950316</v>
      </c>
      <c r="L18" s="23">
        <v>550</v>
      </c>
      <c r="M18" s="23">
        <v>50</v>
      </c>
      <c r="N18" s="23"/>
      <c r="O18" s="23"/>
      <c r="P18" s="23"/>
      <c r="Q18" s="23"/>
      <c r="R18" s="23"/>
      <c r="S18" s="25" t="s">
        <v>380</v>
      </c>
    </row>
    <row r="19" spans="1:19" s="52" customFormat="1" ht="94.5">
      <c r="A19" s="61">
        <v>3</v>
      </c>
      <c r="B19" s="43" t="s">
        <v>334</v>
      </c>
      <c r="C19" s="25" t="s">
        <v>335</v>
      </c>
      <c r="D19" s="64" t="s">
        <v>270</v>
      </c>
      <c r="E19" s="64" t="s">
        <v>336</v>
      </c>
      <c r="F19" s="64"/>
      <c r="G19" s="64"/>
      <c r="H19" s="55">
        <v>2018</v>
      </c>
      <c r="I19" s="23">
        <v>7785.333</v>
      </c>
      <c r="J19" s="23">
        <f>I19-47.473-237.86</f>
        <v>7500</v>
      </c>
      <c r="K19" s="29">
        <f t="shared" si="4"/>
        <v>3.6650070074073824</v>
      </c>
      <c r="L19" s="23">
        <f>J19</f>
        <v>7500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 t="shared" si="4"/>
        <v>4.283971897144355</v>
      </c>
      <c r="L20" s="23">
        <v>1899.14</v>
      </c>
      <c r="M20" s="23"/>
      <c r="N20" s="23"/>
      <c r="O20" s="23"/>
      <c r="P20" s="23"/>
      <c r="Q20" s="23"/>
      <c r="R20" s="23"/>
      <c r="S20" s="25" t="s">
        <v>369</v>
      </c>
    </row>
    <row r="21" spans="1:19" s="52" customFormat="1" ht="63">
      <c r="A21" s="61">
        <v>5</v>
      </c>
      <c r="B21" s="43" t="s">
        <v>305</v>
      </c>
      <c r="C21" s="63" t="s">
        <v>428</v>
      </c>
      <c r="D21" s="56" t="s">
        <v>270</v>
      </c>
      <c r="E21" s="68"/>
      <c r="F21" s="56"/>
      <c r="G21" s="56"/>
      <c r="H21" s="55"/>
      <c r="I21" s="23">
        <v>3000</v>
      </c>
      <c r="J21" s="23">
        <f>I21</f>
        <v>3000</v>
      </c>
      <c r="K21" s="29">
        <f t="shared" si="4"/>
        <v>0</v>
      </c>
      <c r="L21" s="23">
        <v>3000</v>
      </c>
      <c r="M21" s="23">
        <v>300</v>
      </c>
      <c r="N21" s="23"/>
      <c r="O21" s="23"/>
      <c r="P21" s="23"/>
      <c r="Q21" s="23"/>
      <c r="R21" s="23"/>
      <c r="S21" s="65" t="s">
        <v>370</v>
      </c>
    </row>
    <row r="22" spans="1:19" s="52" customFormat="1" ht="78.75">
      <c r="A22" s="61">
        <v>6</v>
      </c>
      <c r="B22" s="43" t="s">
        <v>305</v>
      </c>
      <c r="C22" s="63" t="s">
        <v>362</v>
      </c>
      <c r="D22" s="56" t="s">
        <v>270</v>
      </c>
      <c r="E22" s="56" t="s">
        <v>363</v>
      </c>
      <c r="F22" s="56"/>
      <c r="G22" s="56"/>
      <c r="H22" s="55"/>
      <c r="I22" s="23">
        <f>L22</f>
        <v>20000</v>
      </c>
      <c r="J22" s="23">
        <f>I22</f>
        <v>20000</v>
      </c>
      <c r="K22" s="29">
        <f t="shared" si="4"/>
        <v>0</v>
      </c>
      <c r="L22" s="23">
        <v>20000</v>
      </c>
      <c r="M22" s="23">
        <v>500</v>
      </c>
      <c r="N22" s="23"/>
      <c r="O22" s="23"/>
      <c r="P22" s="23"/>
      <c r="Q22" s="23"/>
      <c r="R22" s="23"/>
      <c r="S22" s="25" t="s">
        <v>364</v>
      </c>
    </row>
    <row r="23" spans="1:20" s="52" customFormat="1" ht="111.75" customHeight="1">
      <c r="A23" s="61">
        <v>7</v>
      </c>
      <c r="B23" s="43" t="s">
        <v>305</v>
      </c>
      <c r="C23" s="63" t="s">
        <v>75</v>
      </c>
      <c r="D23" s="56" t="s">
        <v>270</v>
      </c>
      <c r="E23" s="56" t="s">
        <v>356</v>
      </c>
      <c r="F23" s="56" t="s">
        <v>355</v>
      </c>
      <c r="G23" s="56"/>
      <c r="H23" s="55"/>
      <c r="I23" s="23">
        <v>18856.07</v>
      </c>
      <c r="J23" s="23">
        <f>I23-280.524</f>
        <v>18575.546</v>
      </c>
      <c r="K23" s="29">
        <f t="shared" si="4"/>
        <v>1.4877119145187692</v>
      </c>
      <c r="L23" s="23">
        <v>15000</v>
      </c>
      <c r="M23" s="23">
        <v>378</v>
      </c>
      <c r="N23" s="23"/>
      <c r="O23" s="23">
        <f>J23-L23</f>
        <v>3575.5459999999985</v>
      </c>
      <c r="P23" s="23"/>
      <c r="Q23" s="23"/>
      <c r="R23" s="23"/>
      <c r="S23" s="25" t="s">
        <v>358</v>
      </c>
      <c r="T23" s="62" t="s">
        <v>357</v>
      </c>
    </row>
    <row r="24" spans="1:19" s="52" customFormat="1" ht="78.75">
      <c r="A24" s="61">
        <v>8</v>
      </c>
      <c r="B24" s="43" t="s">
        <v>26</v>
      </c>
      <c r="C24" s="63" t="s">
        <v>128</v>
      </c>
      <c r="D24" s="56" t="s">
        <v>270</v>
      </c>
      <c r="E24" s="56" t="s">
        <v>361</v>
      </c>
      <c r="F24" s="56"/>
      <c r="G24" s="56"/>
      <c r="H24" s="55"/>
      <c r="I24" s="23">
        <f>L24+O24</f>
        <v>6172</v>
      </c>
      <c r="J24" s="23">
        <f>I24</f>
        <v>6172</v>
      </c>
      <c r="K24" s="29">
        <f t="shared" si="4"/>
        <v>0</v>
      </c>
      <c r="L24" s="23">
        <v>3000</v>
      </c>
      <c r="M24" s="23">
        <v>126</v>
      </c>
      <c r="N24" s="23"/>
      <c r="O24" s="23">
        <v>3172</v>
      </c>
      <c r="P24" s="23"/>
      <c r="Q24" s="23"/>
      <c r="R24" s="23"/>
      <c r="S24" s="25" t="s">
        <v>185</v>
      </c>
    </row>
    <row r="25" spans="1:19" s="52" customFormat="1" ht="94.5">
      <c r="A25" s="61">
        <v>10</v>
      </c>
      <c r="B25" s="43" t="s">
        <v>305</v>
      </c>
      <c r="C25" s="63" t="s">
        <v>373</v>
      </c>
      <c r="D25" s="56" t="s">
        <v>270</v>
      </c>
      <c r="E25" s="64" t="s">
        <v>374</v>
      </c>
      <c r="F25" s="56"/>
      <c r="G25" s="56"/>
      <c r="H25" s="55"/>
      <c r="I25" s="23">
        <f>L25</f>
        <v>1500</v>
      </c>
      <c r="J25" s="23">
        <f>I25</f>
        <v>1500</v>
      </c>
      <c r="K25" s="29">
        <f t="shared" si="4"/>
        <v>0</v>
      </c>
      <c r="L25" s="23">
        <v>1500</v>
      </c>
      <c r="M25" s="23">
        <v>120</v>
      </c>
      <c r="N25" s="23"/>
      <c r="O25" s="23"/>
      <c r="P25" s="23"/>
      <c r="Q25" s="23"/>
      <c r="R25" s="23"/>
      <c r="S25" s="25" t="s">
        <v>378</v>
      </c>
    </row>
    <row r="26" spans="1:19" s="52" customFormat="1" ht="94.5">
      <c r="A26" s="61">
        <v>12</v>
      </c>
      <c r="B26" s="43" t="s">
        <v>372</v>
      </c>
      <c r="C26" s="25" t="s">
        <v>371</v>
      </c>
      <c r="D26" s="64" t="s">
        <v>270</v>
      </c>
      <c r="E26" s="64" t="s">
        <v>392</v>
      </c>
      <c r="F26" s="64"/>
      <c r="G26" s="64"/>
      <c r="H26" s="55"/>
      <c r="I26" s="23">
        <f>L26</f>
        <v>1950</v>
      </c>
      <c r="J26" s="23">
        <f>I26</f>
        <v>1950</v>
      </c>
      <c r="K26" s="29">
        <f t="shared" si="4"/>
        <v>0</v>
      </c>
      <c r="L26" s="23">
        <v>1950</v>
      </c>
      <c r="M26" s="23">
        <v>50</v>
      </c>
      <c r="N26" s="23"/>
      <c r="O26" s="23"/>
      <c r="P26" s="23"/>
      <c r="Q26" s="23"/>
      <c r="R26" s="23"/>
      <c r="S26" s="25" t="s">
        <v>192</v>
      </c>
    </row>
    <row r="27" spans="1:19" s="52" customFormat="1" ht="78.75">
      <c r="A27" s="61">
        <v>13</v>
      </c>
      <c r="B27" s="43" t="s">
        <v>305</v>
      </c>
      <c r="C27" s="63" t="s">
        <v>140</v>
      </c>
      <c r="D27" s="56" t="s">
        <v>270</v>
      </c>
      <c r="E27" s="56" t="s">
        <v>359</v>
      </c>
      <c r="F27" s="56"/>
      <c r="G27" s="56"/>
      <c r="H27" s="55"/>
      <c r="I27" s="23">
        <f>L27+O27</f>
        <v>12000</v>
      </c>
      <c r="J27" s="23">
        <f>I27</f>
        <v>12000</v>
      </c>
      <c r="K27" s="29">
        <f t="shared" si="4"/>
        <v>0</v>
      </c>
      <c r="L27" s="23">
        <v>3000</v>
      </c>
      <c r="M27" s="23">
        <v>300</v>
      </c>
      <c r="N27" s="23"/>
      <c r="O27" s="23">
        <v>9000</v>
      </c>
      <c r="P27" s="23"/>
      <c r="Q27" s="23"/>
      <c r="R27" s="23"/>
      <c r="S27" s="65" t="s">
        <v>360</v>
      </c>
    </row>
    <row r="28" spans="1:19" s="73" customFormat="1" ht="31.5">
      <c r="A28" s="70"/>
      <c r="B28" s="70"/>
      <c r="C28" s="71" t="s">
        <v>393</v>
      </c>
      <c r="D28" s="71"/>
      <c r="E28" s="71"/>
      <c r="F28" s="71"/>
      <c r="G28" s="71"/>
      <c r="H28" s="71"/>
      <c r="I28" s="72">
        <f>SUM(I34:I36)</f>
        <v>7655</v>
      </c>
      <c r="J28" s="72">
        <f>SUM(J34:J36)</f>
        <v>7655</v>
      </c>
      <c r="K28" s="72" t="s">
        <v>30</v>
      </c>
      <c r="L28" s="72">
        <f aca="true" t="shared" si="5" ref="L28:R28">SUM(L34:L48)</f>
        <v>160891.488</v>
      </c>
      <c r="M28" s="72">
        <f t="shared" si="5"/>
        <v>320</v>
      </c>
      <c r="N28" s="72">
        <f t="shared" si="5"/>
        <v>0</v>
      </c>
      <c r="O28" s="72">
        <f t="shared" si="5"/>
        <v>65266.652</v>
      </c>
      <c r="P28" s="72">
        <f t="shared" si="5"/>
        <v>0</v>
      </c>
      <c r="Q28" s="72">
        <f t="shared" si="5"/>
        <v>19201.589999999997</v>
      </c>
      <c r="R28" s="72">
        <f t="shared" si="5"/>
        <v>0</v>
      </c>
      <c r="S28" s="72"/>
    </row>
    <row r="29" spans="1:19" s="52" customFormat="1" ht="78.75">
      <c r="A29" s="61">
        <v>1</v>
      </c>
      <c r="B29" s="43" t="s">
        <v>342</v>
      </c>
      <c r="C29" s="25" t="s">
        <v>341</v>
      </c>
      <c r="D29" s="64" t="s">
        <v>270</v>
      </c>
      <c r="E29" s="64"/>
      <c r="F29" s="64"/>
      <c r="G29" s="64"/>
      <c r="H29" s="55"/>
      <c r="I29" s="23">
        <f>L29</f>
        <v>1600</v>
      </c>
      <c r="J29" s="23">
        <f aca="true" t="shared" si="6" ref="J29:J36">I29</f>
        <v>1600</v>
      </c>
      <c r="K29" s="29">
        <f aca="true" t="shared" si="7" ref="K29:K36">100-(J29/I29*100)</f>
        <v>0</v>
      </c>
      <c r="L29" s="23">
        <v>1600</v>
      </c>
      <c r="M29" s="23">
        <v>100</v>
      </c>
      <c r="N29" s="23"/>
      <c r="O29" s="23"/>
      <c r="P29" s="23"/>
      <c r="Q29" s="23"/>
      <c r="R29" s="23"/>
      <c r="S29" s="25" t="s">
        <v>147</v>
      </c>
    </row>
    <row r="30" spans="1:19" s="52" customFormat="1" ht="78.75">
      <c r="A30" s="61">
        <v>2</v>
      </c>
      <c r="B30" s="43" t="s">
        <v>342</v>
      </c>
      <c r="C30" s="25" t="s">
        <v>343</v>
      </c>
      <c r="D30" s="64" t="s">
        <v>270</v>
      </c>
      <c r="E30" s="64"/>
      <c r="F30" s="64"/>
      <c r="G30" s="64"/>
      <c r="H30" s="55"/>
      <c r="I30" s="23">
        <f>L30</f>
        <v>1600</v>
      </c>
      <c r="J30" s="23">
        <f t="shared" si="6"/>
        <v>1600</v>
      </c>
      <c r="K30" s="29">
        <f t="shared" si="7"/>
        <v>0</v>
      </c>
      <c r="L30" s="23">
        <v>1600</v>
      </c>
      <c r="M30" s="23">
        <v>100</v>
      </c>
      <c r="N30" s="23"/>
      <c r="O30" s="23"/>
      <c r="P30" s="23"/>
      <c r="Q30" s="23"/>
      <c r="R30" s="23"/>
      <c r="S30" s="25" t="s">
        <v>147</v>
      </c>
    </row>
    <row r="31" spans="1:19" s="52" customFormat="1" ht="63">
      <c r="A31" s="61">
        <v>3</v>
      </c>
      <c r="B31" s="43" t="s">
        <v>342</v>
      </c>
      <c r="C31" s="69" t="s">
        <v>99</v>
      </c>
      <c r="D31" s="29" t="s">
        <v>270</v>
      </c>
      <c r="E31" s="29"/>
      <c r="F31" s="29"/>
      <c r="G31" s="29"/>
      <c r="H31" s="55"/>
      <c r="I31" s="28">
        <f>L31+O31</f>
        <v>3500</v>
      </c>
      <c r="J31" s="28">
        <f t="shared" si="6"/>
        <v>3500</v>
      </c>
      <c r="K31" s="29">
        <f t="shared" si="7"/>
        <v>0</v>
      </c>
      <c r="L31" s="23">
        <v>2200</v>
      </c>
      <c r="M31" s="23">
        <v>400</v>
      </c>
      <c r="N31" s="23"/>
      <c r="O31" s="23">
        <v>1300</v>
      </c>
      <c r="P31" s="23"/>
      <c r="Q31" s="23"/>
      <c r="R31" s="23"/>
      <c r="S31" s="25" t="s">
        <v>196</v>
      </c>
    </row>
    <row r="32" spans="1:19" s="52" customFormat="1" ht="63">
      <c r="A32" s="61">
        <v>4</v>
      </c>
      <c r="B32" s="43" t="s">
        <v>342</v>
      </c>
      <c r="C32" s="25" t="s">
        <v>98</v>
      </c>
      <c r="D32" s="64" t="s">
        <v>270</v>
      </c>
      <c r="E32" s="64"/>
      <c r="F32" s="64"/>
      <c r="G32" s="64"/>
      <c r="H32" s="55"/>
      <c r="I32" s="28">
        <f>L32+O32</f>
        <v>2500</v>
      </c>
      <c r="J32" s="28">
        <f t="shared" si="6"/>
        <v>2500</v>
      </c>
      <c r="K32" s="29">
        <f t="shared" si="7"/>
        <v>0</v>
      </c>
      <c r="L32" s="23">
        <v>2500</v>
      </c>
      <c r="M32" s="23">
        <v>200</v>
      </c>
      <c r="N32" s="23"/>
      <c r="O32" s="23"/>
      <c r="P32" s="23"/>
      <c r="Q32" s="23"/>
      <c r="R32" s="23"/>
      <c r="S32" s="25" t="s">
        <v>197</v>
      </c>
    </row>
    <row r="33" spans="1:19" s="52" customFormat="1" ht="78.75">
      <c r="A33" s="61">
        <v>5</v>
      </c>
      <c r="B33" s="43" t="s">
        <v>342</v>
      </c>
      <c r="C33" s="25" t="s">
        <v>433</v>
      </c>
      <c r="D33" s="64" t="s">
        <v>270</v>
      </c>
      <c r="E33" s="64"/>
      <c r="F33" s="64"/>
      <c r="G33" s="64"/>
      <c r="H33" s="55"/>
      <c r="I33" s="23">
        <f>L33+O33</f>
        <v>3000</v>
      </c>
      <c r="J33" s="23">
        <f t="shared" si="6"/>
        <v>3000</v>
      </c>
      <c r="K33" s="29">
        <f t="shared" si="7"/>
        <v>0</v>
      </c>
      <c r="L33" s="23">
        <v>3000</v>
      </c>
      <c r="M33" s="23">
        <v>350</v>
      </c>
      <c r="N33" s="23"/>
      <c r="O33" s="23"/>
      <c r="P33" s="23"/>
      <c r="Q33" s="23"/>
      <c r="R33" s="23"/>
      <c r="S33" s="74" t="s">
        <v>418</v>
      </c>
    </row>
    <row r="34" spans="1:19" s="52" customFormat="1" ht="78.75">
      <c r="A34" s="61">
        <v>6</v>
      </c>
      <c r="B34" s="43" t="s">
        <v>261</v>
      </c>
      <c r="C34" s="25" t="s">
        <v>438</v>
      </c>
      <c r="D34" s="64" t="s">
        <v>270</v>
      </c>
      <c r="E34" s="64"/>
      <c r="F34" s="64"/>
      <c r="G34" s="64"/>
      <c r="H34" s="55"/>
      <c r="I34" s="23">
        <f>L34+O34</f>
        <v>135</v>
      </c>
      <c r="J34" s="23">
        <f t="shared" si="6"/>
        <v>135</v>
      </c>
      <c r="K34" s="29">
        <f t="shared" si="7"/>
        <v>0</v>
      </c>
      <c r="L34" s="23">
        <v>135</v>
      </c>
      <c r="M34" s="23">
        <v>135</v>
      </c>
      <c r="N34" s="23"/>
      <c r="O34" s="23"/>
      <c r="P34" s="23"/>
      <c r="Q34" s="23"/>
      <c r="R34" s="23"/>
      <c r="S34" s="74" t="s">
        <v>416</v>
      </c>
    </row>
    <row r="35" spans="1:19" s="52" customFormat="1" ht="78.75">
      <c r="A35" s="61">
        <v>7</v>
      </c>
      <c r="B35" s="43" t="s">
        <v>344</v>
      </c>
      <c r="C35" s="25" t="s">
        <v>345</v>
      </c>
      <c r="D35" s="64" t="s">
        <v>270</v>
      </c>
      <c r="E35" s="64"/>
      <c r="F35" s="64"/>
      <c r="G35" s="64"/>
      <c r="H35" s="55"/>
      <c r="I35" s="23">
        <f>L35</f>
        <v>320</v>
      </c>
      <c r="J35" s="23">
        <f t="shared" si="6"/>
        <v>320</v>
      </c>
      <c r="K35" s="29">
        <f t="shared" si="7"/>
        <v>0</v>
      </c>
      <c r="L35" s="23">
        <v>320</v>
      </c>
      <c r="M35" s="23">
        <v>35</v>
      </c>
      <c r="N35" s="23"/>
      <c r="O35" s="23"/>
      <c r="P35" s="23"/>
      <c r="Q35" s="23"/>
      <c r="R35" s="23"/>
      <c r="S35" s="74" t="s">
        <v>417</v>
      </c>
    </row>
    <row r="36" spans="1:19" s="52" customFormat="1" ht="78.75">
      <c r="A36" s="61">
        <v>8</v>
      </c>
      <c r="B36" s="43" t="s">
        <v>342</v>
      </c>
      <c r="C36" s="25" t="s">
        <v>347</v>
      </c>
      <c r="D36" s="64" t="s">
        <v>270</v>
      </c>
      <c r="E36" s="64" t="s">
        <v>346</v>
      </c>
      <c r="F36" s="64"/>
      <c r="G36" s="64"/>
      <c r="H36" s="55"/>
      <c r="I36" s="23">
        <f>L36+O36</f>
        <v>7200</v>
      </c>
      <c r="J36" s="28">
        <f t="shared" si="6"/>
        <v>7200</v>
      </c>
      <c r="K36" s="29">
        <f t="shared" si="7"/>
        <v>0</v>
      </c>
      <c r="L36" s="23">
        <v>3000</v>
      </c>
      <c r="M36" s="23">
        <v>150</v>
      </c>
      <c r="N36" s="23"/>
      <c r="O36" s="23">
        <v>4200</v>
      </c>
      <c r="P36" s="23"/>
      <c r="Q36" s="23"/>
      <c r="R36" s="23"/>
      <c r="S36" s="25" t="s">
        <v>194</v>
      </c>
    </row>
    <row r="37" spans="1:19" s="73" customFormat="1" ht="31.5">
      <c r="A37" s="70"/>
      <c r="B37" s="70"/>
      <c r="C37" s="71" t="s">
        <v>394</v>
      </c>
      <c r="D37" s="71"/>
      <c r="E37" s="71"/>
      <c r="F37" s="71"/>
      <c r="G37" s="71"/>
      <c r="H37" s="71"/>
      <c r="I37" s="72">
        <f>SUM(I38:I43)</f>
        <v>107126.144</v>
      </c>
      <c r="J37" s="72">
        <f>SUM(J38:J43)</f>
        <v>84931.22909000001</v>
      </c>
      <c r="K37" s="72" t="s">
        <v>30</v>
      </c>
      <c r="L37" s="72">
        <f aca="true" t="shared" si="8" ref="L37:R37">SUM(L38:L43)</f>
        <v>44797.108</v>
      </c>
      <c r="M37" s="72">
        <f t="shared" si="8"/>
        <v>0</v>
      </c>
      <c r="N37" s="72">
        <f t="shared" si="8"/>
        <v>0</v>
      </c>
      <c r="O37" s="72">
        <f t="shared" si="8"/>
        <v>30533.325999999997</v>
      </c>
      <c r="P37" s="72">
        <f t="shared" si="8"/>
        <v>0</v>
      </c>
      <c r="Q37" s="72">
        <f t="shared" si="8"/>
        <v>9600.794999999998</v>
      </c>
      <c r="R37" s="72">
        <f t="shared" si="8"/>
        <v>0</v>
      </c>
      <c r="S37" s="72"/>
    </row>
    <row r="38" spans="1:19" s="52" customFormat="1" ht="94.5">
      <c r="A38" s="61">
        <v>1</v>
      </c>
      <c r="B38" s="43" t="s">
        <v>292</v>
      </c>
      <c r="C38" s="25" t="s">
        <v>310</v>
      </c>
      <c r="D38" s="64" t="s">
        <v>270</v>
      </c>
      <c r="E38" s="64" t="s">
        <v>311</v>
      </c>
      <c r="F38" s="64" t="s">
        <v>315</v>
      </c>
      <c r="G38" s="64" t="s">
        <v>312</v>
      </c>
      <c r="H38" s="55">
        <v>2016</v>
      </c>
      <c r="I38" s="28">
        <f>4485.15+4814.85</f>
        <v>9300</v>
      </c>
      <c r="J38" s="28">
        <f>I38-1990.93498-2494.215</f>
        <v>4814.85002</v>
      </c>
      <c r="K38" s="29">
        <f>100-(J38/I38*100)</f>
        <v>48.22741913978494</v>
      </c>
      <c r="L38" s="23">
        <v>4814.85</v>
      </c>
      <c r="M38" s="23"/>
      <c r="N38" s="23"/>
      <c r="O38" s="23"/>
      <c r="P38" s="23"/>
      <c r="Q38" s="23"/>
      <c r="R38" s="23"/>
      <c r="S38" s="25" t="s">
        <v>435</v>
      </c>
    </row>
    <row r="39" spans="1:19" s="52" customFormat="1" ht="94.5">
      <c r="A39" s="61">
        <v>2</v>
      </c>
      <c r="B39" s="43" t="s">
        <v>322</v>
      </c>
      <c r="C39" s="25" t="s">
        <v>320</v>
      </c>
      <c r="D39" s="64" t="s">
        <v>270</v>
      </c>
      <c r="E39" s="64" t="s">
        <v>321</v>
      </c>
      <c r="F39" s="64" t="s">
        <v>323</v>
      </c>
      <c r="G39" s="64" t="s">
        <v>324</v>
      </c>
      <c r="H39" s="55">
        <v>2015</v>
      </c>
      <c r="I39" s="23">
        <v>25129.262</v>
      </c>
      <c r="J39" s="23">
        <f>I39-107.715-8982.38893-7500</f>
        <v>8539.15807</v>
      </c>
      <c r="K39" s="29">
        <f>100-(J39/I39*100)</f>
        <v>66.01906546240792</v>
      </c>
      <c r="L39" s="23">
        <v>8539.158</v>
      </c>
      <c r="M39" s="23"/>
      <c r="N39" s="23"/>
      <c r="O39" s="23"/>
      <c r="P39" s="23"/>
      <c r="Q39" s="23"/>
      <c r="R39" s="23"/>
      <c r="S39" s="25" t="s">
        <v>325</v>
      </c>
    </row>
    <row r="40" spans="1:19" s="52" customFormat="1" ht="94.5">
      <c r="A40" s="61">
        <v>3</v>
      </c>
      <c r="B40" s="43" t="s">
        <v>261</v>
      </c>
      <c r="C40" s="63" t="s">
        <v>293</v>
      </c>
      <c r="D40" s="56" t="s">
        <v>270</v>
      </c>
      <c r="E40" s="64" t="s">
        <v>299</v>
      </c>
      <c r="F40" s="56" t="s">
        <v>294</v>
      </c>
      <c r="G40" s="56" t="s">
        <v>295</v>
      </c>
      <c r="H40" s="55">
        <v>2018</v>
      </c>
      <c r="I40" s="23">
        <v>32780.918</v>
      </c>
      <c r="J40" s="23">
        <f>I40-467.592</f>
        <v>32313.325999999997</v>
      </c>
      <c r="K40" s="29">
        <f>100-(J40/I40*100)</f>
        <v>1.426415208994456</v>
      </c>
      <c r="L40" s="23">
        <v>16780</v>
      </c>
      <c r="M40" s="23"/>
      <c r="N40" s="23"/>
      <c r="O40" s="23">
        <f>J40-L40</f>
        <v>15533.325999999997</v>
      </c>
      <c r="P40" s="23"/>
      <c r="Q40" s="23"/>
      <c r="R40" s="23"/>
      <c r="S40" s="25" t="s">
        <v>296</v>
      </c>
    </row>
    <row r="41" spans="1:19" s="52" customFormat="1" ht="78.75">
      <c r="A41" s="61">
        <v>4</v>
      </c>
      <c r="B41" s="43" t="s">
        <v>354</v>
      </c>
      <c r="C41" s="25" t="s">
        <v>112</v>
      </c>
      <c r="D41" s="56" t="s">
        <v>270</v>
      </c>
      <c r="E41" s="64" t="s">
        <v>434</v>
      </c>
      <c r="F41" s="64"/>
      <c r="G41" s="64"/>
      <c r="H41" s="55"/>
      <c r="I41" s="23">
        <v>35092.864</v>
      </c>
      <c r="J41" s="23">
        <f>I41-492.069</f>
        <v>34600.795</v>
      </c>
      <c r="K41" s="29">
        <v>0</v>
      </c>
      <c r="L41" s="23">
        <v>10000</v>
      </c>
      <c r="M41" s="23"/>
      <c r="N41" s="23"/>
      <c r="O41" s="23">
        <v>15000</v>
      </c>
      <c r="P41" s="23"/>
      <c r="Q41" s="23">
        <f>J41-L41-O41</f>
        <v>9600.794999999998</v>
      </c>
      <c r="R41" s="23"/>
      <c r="S41" s="25" t="s">
        <v>450</v>
      </c>
    </row>
    <row r="42" spans="1:19" s="52" customFormat="1" ht="78.75">
      <c r="A42" s="61">
        <v>5</v>
      </c>
      <c r="B42" s="43" t="s">
        <v>351</v>
      </c>
      <c r="C42" s="25" t="s">
        <v>436</v>
      </c>
      <c r="D42" s="56" t="s">
        <v>270</v>
      </c>
      <c r="E42" s="64" t="s">
        <v>349</v>
      </c>
      <c r="F42" s="64"/>
      <c r="G42" s="64"/>
      <c r="H42" s="55"/>
      <c r="I42" s="28">
        <f>L42+85</f>
        <v>3348.1</v>
      </c>
      <c r="J42" s="28">
        <f>I42-85</f>
        <v>3263.1</v>
      </c>
      <c r="K42" s="29">
        <f>100-(J42/I42*100)</f>
        <v>2.5387533227800816</v>
      </c>
      <c r="L42" s="23">
        <v>3263.1</v>
      </c>
      <c r="M42" s="23"/>
      <c r="N42" s="23"/>
      <c r="O42" s="23"/>
      <c r="P42" s="23"/>
      <c r="Q42" s="23"/>
      <c r="R42" s="23"/>
      <c r="S42" s="65" t="s">
        <v>352</v>
      </c>
    </row>
    <row r="43" spans="1:19" s="52" customFormat="1" ht="47.25">
      <c r="A43" s="61">
        <v>6</v>
      </c>
      <c r="B43" s="43" t="s">
        <v>350</v>
      </c>
      <c r="C43" s="25" t="s">
        <v>125</v>
      </c>
      <c r="D43" s="64" t="s">
        <v>270</v>
      </c>
      <c r="E43" s="64" t="s">
        <v>349</v>
      </c>
      <c r="F43" s="64"/>
      <c r="G43" s="64"/>
      <c r="H43" s="55"/>
      <c r="I43" s="28">
        <v>1475</v>
      </c>
      <c r="J43" s="28">
        <f>I43-75</f>
        <v>1400</v>
      </c>
      <c r="K43" s="29">
        <f>100-(J43/I43*100)</f>
        <v>5.0847457627118615</v>
      </c>
      <c r="L43" s="23">
        <v>1400</v>
      </c>
      <c r="M43" s="23"/>
      <c r="N43" s="23"/>
      <c r="O43" s="23"/>
      <c r="P43" s="23"/>
      <c r="Q43" s="23"/>
      <c r="R43" s="23"/>
      <c r="S43" s="25" t="s">
        <v>446</v>
      </c>
    </row>
    <row r="44" spans="1:19" s="73" customFormat="1" ht="31.5">
      <c r="A44" s="70"/>
      <c r="B44" s="70"/>
      <c r="C44" s="71" t="s">
        <v>395</v>
      </c>
      <c r="D44" s="71"/>
      <c r="E44" s="71"/>
      <c r="F44" s="71"/>
      <c r="G44" s="71"/>
      <c r="H44" s="71"/>
      <c r="I44" s="72">
        <f>SUM(I45:I48)</f>
        <v>52755.573000000004</v>
      </c>
      <c r="J44" s="72">
        <f>SUM(J45:J48)</f>
        <v>33921.136000000006</v>
      </c>
      <c r="K44" s="72" t="s">
        <v>30</v>
      </c>
      <c r="L44" s="72">
        <f aca="true" t="shared" si="9" ref="L44:R44">SUM(L45:L48)</f>
        <v>33921.136</v>
      </c>
      <c r="M44" s="72">
        <f t="shared" si="9"/>
        <v>0</v>
      </c>
      <c r="N44" s="72">
        <f t="shared" si="9"/>
        <v>0</v>
      </c>
      <c r="O44" s="72">
        <f t="shared" si="9"/>
        <v>0</v>
      </c>
      <c r="P44" s="72">
        <f t="shared" si="9"/>
        <v>0</v>
      </c>
      <c r="Q44" s="72">
        <f t="shared" si="9"/>
        <v>0</v>
      </c>
      <c r="R44" s="72">
        <f t="shared" si="9"/>
        <v>0</v>
      </c>
      <c r="S44" s="72"/>
    </row>
    <row r="45" spans="1:19" s="52" customFormat="1" ht="110.25">
      <c r="A45" s="61">
        <v>1</v>
      </c>
      <c r="B45" s="43" t="s">
        <v>27</v>
      </c>
      <c r="C45" s="25" t="s">
        <v>313</v>
      </c>
      <c r="D45" s="64" t="s">
        <v>270</v>
      </c>
      <c r="E45" s="64" t="s">
        <v>314</v>
      </c>
      <c r="F45" s="64" t="s">
        <v>317</v>
      </c>
      <c r="G45" s="64" t="s">
        <v>316</v>
      </c>
      <c r="H45" s="55">
        <v>2018</v>
      </c>
      <c r="I45" s="23">
        <v>14403.659</v>
      </c>
      <c r="J45" s="23">
        <f>I45-400.791</f>
        <v>14002.868</v>
      </c>
      <c r="K45" s="29">
        <f>100-(J45/I45*100)</f>
        <v>2.7825637916032235</v>
      </c>
      <c r="L45" s="23">
        <v>14002.868</v>
      </c>
      <c r="M45" s="23"/>
      <c r="N45" s="23"/>
      <c r="O45" s="23"/>
      <c r="P45" s="23"/>
      <c r="Q45" s="23"/>
      <c r="R45" s="23"/>
      <c r="S45" s="25" t="s">
        <v>318</v>
      </c>
    </row>
    <row r="46" spans="1:19" s="52" customFormat="1" ht="94.5">
      <c r="A46" s="61">
        <v>2</v>
      </c>
      <c r="B46" s="43" t="s">
        <v>262</v>
      </c>
      <c r="C46" s="25" t="s">
        <v>79</v>
      </c>
      <c r="D46" s="64" t="s">
        <v>270</v>
      </c>
      <c r="E46" s="64" t="s">
        <v>297</v>
      </c>
      <c r="F46" s="56" t="s">
        <v>300</v>
      </c>
      <c r="G46" s="64" t="s">
        <v>301</v>
      </c>
      <c r="H46" s="55">
        <v>2017</v>
      </c>
      <c r="I46" s="23">
        <v>21981.914</v>
      </c>
      <c r="J46" s="23">
        <f>I46-215.963-14932.538</f>
        <v>6833.4130000000005</v>
      </c>
      <c r="K46" s="29">
        <f>100-(J46/I46*100)</f>
        <v>68.91347586929874</v>
      </c>
      <c r="L46" s="23">
        <v>6833.413</v>
      </c>
      <c r="M46" s="23"/>
      <c r="N46" s="23"/>
      <c r="O46" s="23"/>
      <c r="P46" s="23"/>
      <c r="Q46" s="23"/>
      <c r="R46" s="23"/>
      <c r="S46" s="25" t="s">
        <v>298</v>
      </c>
    </row>
    <row r="47" spans="1:19" s="52" customFormat="1" ht="94.5">
      <c r="A47" s="61">
        <v>3</v>
      </c>
      <c r="B47" s="43" t="s">
        <v>330</v>
      </c>
      <c r="C47" s="25" t="s">
        <v>61</v>
      </c>
      <c r="D47" s="64" t="s">
        <v>270</v>
      </c>
      <c r="E47" s="64" t="s">
        <v>331</v>
      </c>
      <c r="F47" s="64" t="s">
        <v>332</v>
      </c>
      <c r="G47" s="64" t="s">
        <v>333</v>
      </c>
      <c r="H47" s="55">
        <v>2016</v>
      </c>
      <c r="I47" s="23">
        <v>8570</v>
      </c>
      <c r="J47" s="23">
        <f>I47-1520-71.8</f>
        <v>6978.2</v>
      </c>
      <c r="K47" s="29">
        <f>100-(J47/I47*100)</f>
        <v>18.574095682613773</v>
      </c>
      <c r="L47" s="23">
        <f>J47</f>
        <v>6978.2</v>
      </c>
      <c r="M47" s="23"/>
      <c r="N47" s="23"/>
      <c r="O47" s="23"/>
      <c r="P47" s="23"/>
      <c r="Q47" s="23"/>
      <c r="R47" s="23"/>
      <c r="S47" s="25" t="s">
        <v>447</v>
      </c>
    </row>
    <row r="48" spans="1:19" s="52" customFormat="1" ht="110.25">
      <c r="A48" s="61">
        <v>4</v>
      </c>
      <c r="B48" s="43" t="s">
        <v>326</v>
      </c>
      <c r="C48" s="25" t="s">
        <v>63</v>
      </c>
      <c r="D48" s="64" t="s">
        <v>270</v>
      </c>
      <c r="E48" s="64" t="s">
        <v>327</v>
      </c>
      <c r="F48" s="64" t="s">
        <v>328</v>
      </c>
      <c r="G48" s="64" t="s">
        <v>329</v>
      </c>
      <c r="H48" s="55">
        <v>2016</v>
      </c>
      <c r="I48" s="23">
        <f>4771.333+3028.667</f>
        <v>7800</v>
      </c>
      <c r="J48" s="23">
        <f>I48-1660-33.345</f>
        <v>6106.655</v>
      </c>
      <c r="K48" s="29">
        <f>100-(J48/I48*100)</f>
        <v>21.709551282051294</v>
      </c>
      <c r="L48" s="23">
        <v>6106.655</v>
      </c>
      <c r="M48" s="23"/>
      <c r="N48" s="23"/>
      <c r="O48" s="23"/>
      <c r="P48" s="23"/>
      <c r="Q48" s="23"/>
      <c r="R48" s="23"/>
      <c r="S48" s="25" t="s">
        <v>448</v>
      </c>
    </row>
    <row r="49" spans="1:19" s="92" customFormat="1" ht="33.75" customHeight="1">
      <c r="A49" s="88"/>
      <c r="B49" s="86"/>
      <c r="C49" s="86" t="s">
        <v>439</v>
      </c>
      <c r="D49" s="86"/>
      <c r="E49" s="86"/>
      <c r="F49" s="86"/>
      <c r="G49" s="86"/>
      <c r="H49" s="89"/>
      <c r="I49" s="90">
        <f>I50</f>
        <v>33100</v>
      </c>
      <c r="J49" s="90">
        <f>J50</f>
        <v>31983.779</v>
      </c>
      <c r="K49" s="91" t="s">
        <v>30</v>
      </c>
      <c r="L49" s="90">
        <f aca="true" t="shared" si="10" ref="L49:R49">L50</f>
        <v>13000</v>
      </c>
      <c r="M49" s="90">
        <f t="shared" si="10"/>
        <v>0</v>
      </c>
      <c r="N49" s="90">
        <f t="shared" si="10"/>
        <v>0</v>
      </c>
      <c r="O49" s="90">
        <f t="shared" si="10"/>
        <v>18983.779</v>
      </c>
      <c r="P49" s="90">
        <f t="shared" si="10"/>
        <v>0</v>
      </c>
      <c r="Q49" s="90">
        <f t="shared" si="10"/>
        <v>0</v>
      </c>
      <c r="R49" s="90">
        <f t="shared" si="10"/>
        <v>0</v>
      </c>
      <c r="S49" s="87"/>
    </row>
    <row r="50" spans="1:19" s="52" customFormat="1" ht="78.75">
      <c r="A50" s="61">
        <v>1</v>
      </c>
      <c r="B50" s="43" t="s">
        <v>292</v>
      </c>
      <c r="C50" s="25" t="s">
        <v>309</v>
      </c>
      <c r="D50" s="64" t="s">
        <v>270</v>
      </c>
      <c r="E50" s="64" t="s">
        <v>399</v>
      </c>
      <c r="F50" s="64"/>
      <c r="G50" s="64"/>
      <c r="H50" s="55">
        <v>2018</v>
      </c>
      <c r="I50" s="28">
        <v>33100</v>
      </c>
      <c r="J50" s="28">
        <f>I50-1116.221</f>
        <v>31983.779</v>
      </c>
      <c r="K50" s="29">
        <f>100-(J50/I50*100)</f>
        <v>3.3722688821752342</v>
      </c>
      <c r="L50" s="23">
        <v>13000</v>
      </c>
      <c r="M50" s="23"/>
      <c r="N50" s="23"/>
      <c r="O50" s="23">
        <f>J50-L50</f>
        <v>18983.779</v>
      </c>
      <c r="P50" s="23"/>
      <c r="Q50" s="23"/>
      <c r="R50" s="23"/>
      <c r="S50" s="25" t="s">
        <v>449</v>
      </c>
    </row>
    <row r="51" spans="1:19" s="52" customFormat="1" ht="15.75">
      <c r="A51" s="77"/>
      <c r="B51" s="78"/>
      <c r="C51" s="79"/>
      <c r="D51" s="80"/>
      <c r="E51" s="80"/>
      <c r="F51" s="80"/>
      <c r="G51" s="80"/>
      <c r="H51" s="81"/>
      <c r="I51" s="94"/>
      <c r="J51" s="94"/>
      <c r="K51" s="82"/>
      <c r="L51" s="83"/>
      <c r="M51" s="83"/>
      <c r="N51" s="83"/>
      <c r="O51" s="83"/>
      <c r="P51" s="83"/>
      <c r="Q51" s="83"/>
      <c r="R51" s="83"/>
      <c r="S51" s="79"/>
    </row>
    <row r="52" spans="2:19" ht="40.5" customHeight="1">
      <c r="B52" s="149" t="s">
        <v>381</v>
      </c>
      <c r="C52" s="149"/>
      <c r="D52" s="149"/>
      <c r="E52" s="149"/>
      <c r="F52" s="149"/>
      <c r="G52" s="149"/>
      <c r="H52" s="149"/>
      <c r="I52" s="149"/>
      <c r="J52" s="149"/>
      <c r="S52" s="18" t="s">
        <v>382</v>
      </c>
    </row>
    <row r="53" ht="15.75">
      <c r="S53" s="18"/>
    </row>
    <row r="54" spans="1:8" ht="15.75">
      <c r="A54" s="18"/>
      <c r="C54" s="19"/>
      <c r="D54" s="57"/>
      <c r="E54" s="57"/>
      <c r="F54" s="57"/>
      <c r="G54" s="57"/>
      <c r="H54" s="57"/>
    </row>
  </sheetData>
  <sheetProtection/>
  <mergeCells count="17">
    <mergeCell ref="S3:S4"/>
    <mergeCell ref="A1:S1"/>
    <mergeCell ref="A3:A4"/>
    <mergeCell ref="B3:B4"/>
    <mergeCell ref="C3:C4"/>
    <mergeCell ref="D3:D4"/>
    <mergeCell ref="E3:E4"/>
    <mergeCell ref="F3:F4"/>
    <mergeCell ref="G3:G4"/>
    <mergeCell ref="H3:H4"/>
    <mergeCell ref="B52:J52"/>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52" max="18" man="1"/>
    <brk id="53" max="9" man="1"/>
  </rowBreaks>
</worksheet>
</file>

<file path=xl/worksheets/sheet9.xml><?xml version="1.0" encoding="utf-8"?>
<worksheet xmlns="http://schemas.openxmlformats.org/spreadsheetml/2006/main" xmlns:r="http://schemas.openxmlformats.org/officeDocument/2006/relationships">
  <sheetPr>
    <tabColor rgb="FFFFFF00"/>
  </sheetPr>
  <dimension ref="A1:T32"/>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48" t="s">
        <v>451</v>
      </c>
      <c r="B1" s="148"/>
      <c r="C1" s="148"/>
      <c r="D1" s="148"/>
      <c r="E1" s="148"/>
      <c r="F1" s="148"/>
      <c r="G1" s="148"/>
      <c r="H1" s="148"/>
      <c r="I1" s="148"/>
      <c r="J1" s="148"/>
      <c r="K1" s="148"/>
      <c r="L1" s="148"/>
      <c r="M1" s="148"/>
      <c r="N1" s="148"/>
      <c r="O1" s="148"/>
      <c r="P1" s="148"/>
      <c r="Q1" s="148"/>
      <c r="R1" s="148"/>
      <c r="S1" s="148"/>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50" t="s">
        <v>12</v>
      </c>
      <c r="B3" s="150" t="s">
        <v>254</v>
      </c>
      <c r="C3" s="150" t="s">
        <v>256</v>
      </c>
      <c r="D3" s="150" t="s">
        <v>269</v>
      </c>
      <c r="E3" s="150" t="s">
        <v>258</v>
      </c>
      <c r="F3" s="150" t="s">
        <v>259</v>
      </c>
      <c r="G3" s="150" t="s">
        <v>257</v>
      </c>
      <c r="H3" s="150" t="s">
        <v>250</v>
      </c>
      <c r="I3" s="150" t="s">
        <v>11</v>
      </c>
      <c r="J3" s="150" t="s">
        <v>251</v>
      </c>
      <c r="K3" s="150" t="s">
        <v>16</v>
      </c>
      <c r="L3" s="152" t="s">
        <v>241</v>
      </c>
      <c r="M3" s="153"/>
      <c r="N3" s="53" t="s">
        <v>252</v>
      </c>
      <c r="O3" s="154" t="s">
        <v>242</v>
      </c>
      <c r="P3" s="155"/>
      <c r="Q3" s="154" t="s">
        <v>253</v>
      </c>
      <c r="R3" s="155"/>
      <c r="S3" s="150" t="s">
        <v>255</v>
      </c>
    </row>
    <row r="4" spans="1:19" s="54" customFormat="1" ht="129.75" customHeight="1">
      <c r="A4" s="151"/>
      <c r="B4" s="151"/>
      <c r="C4" s="151"/>
      <c r="D4" s="151"/>
      <c r="E4" s="151"/>
      <c r="F4" s="151"/>
      <c r="G4" s="151"/>
      <c r="H4" s="151"/>
      <c r="I4" s="151"/>
      <c r="J4" s="151"/>
      <c r="K4" s="151"/>
      <c r="L4" s="53" t="s">
        <v>273</v>
      </c>
      <c r="M4" s="60" t="s">
        <v>274</v>
      </c>
      <c r="N4" s="53"/>
      <c r="O4" s="75" t="s">
        <v>273</v>
      </c>
      <c r="P4" s="76" t="s">
        <v>274</v>
      </c>
      <c r="Q4" s="75" t="s">
        <v>273</v>
      </c>
      <c r="R4" s="76" t="s">
        <v>274</v>
      </c>
      <c r="S4" s="151"/>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I7+I24+I26</f>
        <v>7830</v>
      </c>
      <c r="J6" s="22">
        <f>J7+J24+J26</f>
        <v>7830</v>
      </c>
      <c r="K6" s="22" t="s">
        <v>30</v>
      </c>
      <c r="L6" s="22">
        <f>L7+L24+L26</f>
        <v>7830</v>
      </c>
      <c r="M6" s="22">
        <f>M7+M24+M26</f>
        <v>7830</v>
      </c>
      <c r="N6" s="22" t="e">
        <f>N7+N24+#REF!+N26+#REF!+#REF!</f>
        <v>#REF!</v>
      </c>
      <c r="O6" s="22" t="e">
        <f>O7+O24+#REF!+O26+#REF!+#REF!</f>
        <v>#REF!</v>
      </c>
      <c r="P6" s="22" t="e">
        <f>P7+P24+#REF!+P26+#REF!+#REF!</f>
        <v>#REF!</v>
      </c>
      <c r="Q6" s="22" t="e">
        <f>Q7+Q24+#REF!+Q26+#REF!+#REF!</f>
        <v>#REF!</v>
      </c>
      <c r="R6" s="22" t="e">
        <f>R7+R24+#REF!+R26+#REF!+#REF!</f>
        <v>#REF!</v>
      </c>
      <c r="S6" s="22" t="s">
        <v>30</v>
      </c>
    </row>
    <row r="7" spans="1:19" s="73" customFormat="1" ht="31.5">
      <c r="A7" s="70"/>
      <c r="B7" s="70"/>
      <c r="C7" s="71" t="s">
        <v>383</v>
      </c>
      <c r="D7" s="71"/>
      <c r="E7" s="71"/>
      <c r="F7" s="71"/>
      <c r="G7" s="71"/>
      <c r="H7" s="71"/>
      <c r="I7" s="72">
        <f>SUM(I8:I23)</f>
        <v>4180</v>
      </c>
      <c r="J7" s="72">
        <f>SUM(J8:J23)</f>
        <v>4180</v>
      </c>
      <c r="K7" s="72" t="s">
        <v>30</v>
      </c>
      <c r="L7" s="72">
        <f>SUM(L8:L23)</f>
        <v>4180</v>
      </c>
      <c r="M7" s="72">
        <f>SUM(M8:M23)</f>
        <v>4180</v>
      </c>
      <c r="N7" s="72" t="e">
        <f>SUM(#REF!)</f>
        <v>#REF!</v>
      </c>
      <c r="O7" s="72" t="e">
        <f>SUM(#REF!)</f>
        <v>#REF!</v>
      </c>
      <c r="P7" s="72" t="e">
        <f>SUM(#REF!)</f>
        <v>#REF!</v>
      </c>
      <c r="Q7" s="72" t="e">
        <f>SUM(#REF!)</f>
        <v>#REF!</v>
      </c>
      <c r="R7" s="72" t="e">
        <f>SUM(#REF!)</f>
        <v>#REF!</v>
      </c>
      <c r="S7" s="72"/>
    </row>
    <row r="8" spans="1:19" s="52" customFormat="1" ht="47.25">
      <c r="A8" s="61">
        <v>10</v>
      </c>
      <c r="B8" s="43" t="s">
        <v>292</v>
      </c>
      <c r="C8" s="67" t="s">
        <v>390</v>
      </c>
      <c r="D8" s="66" t="s">
        <v>270</v>
      </c>
      <c r="E8" s="56"/>
      <c r="F8" s="56"/>
      <c r="G8" s="56"/>
      <c r="H8" s="55"/>
      <c r="I8" s="23">
        <v>300</v>
      </c>
      <c r="J8" s="23">
        <f>I8</f>
        <v>300</v>
      </c>
      <c r="K8" s="29">
        <f aca="true" t="shared" si="0" ref="K8:K22">100-(J8/I8*100)</f>
        <v>0</v>
      </c>
      <c r="L8" s="23">
        <v>300</v>
      </c>
      <c r="M8" s="23">
        <v>300</v>
      </c>
      <c r="N8" s="23"/>
      <c r="O8" s="23">
        <v>5000</v>
      </c>
      <c r="P8" s="23"/>
      <c r="Q8" s="23"/>
      <c r="R8" s="23"/>
      <c r="S8" s="74" t="s">
        <v>444</v>
      </c>
    </row>
    <row r="9" spans="1:19" s="52" customFormat="1" ht="78.75">
      <c r="A9" s="61">
        <v>11</v>
      </c>
      <c r="B9" s="43" t="s">
        <v>263</v>
      </c>
      <c r="C9" s="63" t="s">
        <v>282</v>
      </c>
      <c r="D9" s="66" t="s">
        <v>270</v>
      </c>
      <c r="E9" s="56"/>
      <c r="F9" s="56"/>
      <c r="G9" s="56"/>
      <c r="H9" s="55"/>
      <c r="I9" s="23">
        <f>L9</f>
        <v>300</v>
      </c>
      <c r="J9" s="23">
        <f aca="true" t="shared" si="1" ref="J9:J22">I9</f>
        <v>300</v>
      </c>
      <c r="K9" s="29">
        <f t="shared" si="0"/>
        <v>0</v>
      </c>
      <c r="L9" s="23">
        <v>300</v>
      </c>
      <c r="M9" s="23">
        <v>300</v>
      </c>
      <c r="N9" s="23"/>
      <c r="O9" s="23"/>
      <c r="P9" s="23"/>
      <c r="Q9" s="23"/>
      <c r="R9" s="23"/>
      <c r="S9" s="25" t="s">
        <v>280</v>
      </c>
    </row>
    <row r="10" spans="1:19" s="52" customFormat="1" ht="78.75">
      <c r="A10" s="61">
        <v>12</v>
      </c>
      <c r="B10" s="43" t="s">
        <v>442</v>
      </c>
      <c r="C10" s="74" t="s">
        <v>401</v>
      </c>
      <c r="D10" s="66" t="s">
        <v>270</v>
      </c>
      <c r="E10" s="56"/>
      <c r="F10" s="56"/>
      <c r="G10" s="56"/>
      <c r="H10" s="55"/>
      <c r="I10" s="23">
        <f>L10</f>
        <v>250</v>
      </c>
      <c r="J10" s="23">
        <f t="shared" si="1"/>
        <v>250</v>
      </c>
      <c r="K10" s="29">
        <f t="shared" si="0"/>
        <v>0</v>
      </c>
      <c r="L10" s="23">
        <v>250</v>
      </c>
      <c r="M10" s="23">
        <v>250</v>
      </c>
      <c r="N10" s="23"/>
      <c r="O10" s="23"/>
      <c r="P10" s="23"/>
      <c r="Q10" s="23"/>
      <c r="R10" s="23"/>
      <c r="S10" s="74" t="s">
        <v>410</v>
      </c>
    </row>
    <row r="11" spans="1:19" s="52" customFormat="1" ht="94.5">
      <c r="A11" s="61">
        <v>13</v>
      </c>
      <c r="B11" s="43" t="s">
        <v>283</v>
      </c>
      <c r="C11" s="63" t="s">
        <v>281</v>
      </c>
      <c r="D11" s="66" t="s">
        <v>270</v>
      </c>
      <c r="E11" s="56"/>
      <c r="F11" s="56"/>
      <c r="G11" s="56"/>
      <c r="H11" s="55"/>
      <c r="I11" s="23">
        <v>250</v>
      </c>
      <c r="J11" s="23">
        <f t="shared" si="1"/>
        <v>250</v>
      </c>
      <c r="K11" s="29">
        <f t="shared" si="0"/>
        <v>0</v>
      </c>
      <c r="L11" s="23">
        <v>250</v>
      </c>
      <c r="M11" s="23">
        <v>250</v>
      </c>
      <c r="N11" s="23"/>
      <c r="O11" s="23">
        <v>6000</v>
      </c>
      <c r="P11" s="23"/>
      <c r="Q11" s="23"/>
      <c r="R11" s="23"/>
      <c r="S11" s="74" t="s">
        <v>411</v>
      </c>
    </row>
    <row r="12" spans="1:19" s="52" customFormat="1" ht="78.75">
      <c r="A12" s="61">
        <v>14</v>
      </c>
      <c r="B12" s="43" t="s">
        <v>263</v>
      </c>
      <c r="C12" s="67" t="s">
        <v>285</v>
      </c>
      <c r="D12" s="66" t="s">
        <v>270</v>
      </c>
      <c r="E12" s="56"/>
      <c r="F12" s="56"/>
      <c r="G12" s="56"/>
      <c r="H12" s="55"/>
      <c r="I12" s="23">
        <f>L12</f>
        <v>300</v>
      </c>
      <c r="J12" s="23">
        <f t="shared" si="1"/>
        <v>300</v>
      </c>
      <c r="K12" s="29">
        <f t="shared" si="0"/>
        <v>0</v>
      </c>
      <c r="L12" s="23">
        <v>300</v>
      </c>
      <c r="M12" s="23">
        <v>300</v>
      </c>
      <c r="N12" s="23"/>
      <c r="O12" s="23"/>
      <c r="P12" s="23"/>
      <c r="Q12" s="23"/>
      <c r="R12" s="23"/>
      <c r="S12" s="74" t="s">
        <v>412</v>
      </c>
    </row>
    <row r="13" spans="1:19" s="52" customFormat="1" ht="78.75">
      <c r="A13" s="61">
        <v>15</v>
      </c>
      <c r="B13" s="43" t="s">
        <v>263</v>
      </c>
      <c r="C13" s="67" t="s">
        <v>402</v>
      </c>
      <c r="D13" s="66" t="s">
        <v>270</v>
      </c>
      <c r="E13" s="56"/>
      <c r="F13" s="56"/>
      <c r="G13" s="56"/>
      <c r="H13" s="55"/>
      <c r="I13" s="23">
        <f>L13</f>
        <v>250</v>
      </c>
      <c r="J13" s="23">
        <f t="shared" si="1"/>
        <v>250</v>
      </c>
      <c r="K13" s="29">
        <f t="shared" si="0"/>
        <v>0</v>
      </c>
      <c r="L13" s="23">
        <v>250</v>
      </c>
      <c r="M13" s="23">
        <v>250</v>
      </c>
      <c r="N13" s="23"/>
      <c r="O13" s="23"/>
      <c r="P13" s="23"/>
      <c r="Q13" s="23"/>
      <c r="R13" s="23"/>
      <c r="S13" s="74" t="s">
        <v>420</v>
      </c>
    </row>
    <row r="14" spans="1:19" s="52" customFormat="1" ht="94.5">
      <c r="A14" s="61">
        <v>16</v>
      </c>
      <c r="B14" s="43" t="s">
        <v>283</v>
      </c>
      <c r="C14" s="67" t="s">
        <v>284</v>
      </c>
      <c r="D14" s="66" t="s">
        <v>270</v>
      </c>
      <c r="E14" s="56"/>
      <c r="F14" s="56"/>
      <c r="G14" s="56"/>
      <c r="H14" s="55"/>
      <c r="I14" s="23">
        <f>L14</f>
        <v>300</v>
      </c>
      <c r="J14" s="23">
        <f t="shared" si="1"/>
        <v>300</v>
      </c>
      <c r="K14" s="29">
        <f t="shared" si="0"/>
        <v>0</v>
      </c>
      <c r="L14" s="23">
        <v>300</v>
      </c>
      <c r="M14" s="23">
        <v>300</v>
      </c>
      <c r="N14" s="23"/>
      <c r="O14" s="23"/>
      <c r="P14" s="23"/>
      <c r="Q14" s="23"/>
      <c r="R14" s="23"/>
      <c r="S14" s="74" t="s">
        <v>413</v>
      </c>
    </row>
    <row r="15" spans="1:19" s="52" customFormat="1" ht="63">
      <c r="A15" s="61">
        <v>18</v>
      </c>
      <c r="B15" s="43" t="s">
        <v>292</v>
      </c>
      <c r="C15" s="67" t="s">
        <v>375</v>
      </c>
      <c r="D15" s="66" t="s">
        <v>270</v>
      </c>
      <c r="E15" s="56"/>
      <c r="F15" s="56"/>
      <c r="G15" s="56"/>
      <c r="H15" s="55"/>
      <c r="I15" s="23">
        <f>L15</f>
        <v>400</v>
      </c>
      <c r="J15" s="23">
        <f t="shared" si="1"/>
        <v>400</v>
      </c>
      <c r="K15" s="29">
        <f t="shared" si="0"/>
        <v>0</v>
      </c>
      <c r="L15" s="23">
        <v>400</v>
      </c>
      <c r="M15" s="23">
        <v>400</v>
      </c>
      <c r="N15" s="23"/>
      <c r="O15" s="23"/>
      <c r="P15" s="23"/>
      <c r="Q15" s="23"/>
      <c r="R15" s="23"/>
      <c r="S15" s="74" t="s">
        <v>422</v>
      </c>
    </row>
    <row r="16" spans="1:19" s="52" customFormat="1" ht="110.25">
      <c r="A16" s="61">
        <v>19</v>
      </c>
      <c r="B16" s="43" t="s">
        <v>283</v>
      </c>
      <c r="C16" s="67" t="s">
        <v>403</v>
      </c>
      <c r="D16" s="66" t="s">
        <v>270</v>
      </c>
      <c r="E16" s="56"/>
      <c r="F16" s="56"/>
      <c r="G16" s="56"/>
      <c r="H16" s="55"/>
      <c r="I16" s="23">
        <v>250</v>
      </c>
      <c r="J16" s="23">
        <f t="shared" si="1"/>
        <v>250</v>
      </c>
      <c r="K16" s="29">
        <f t="shared" si="0"/>
        <v>0</v>
      </c>
      <c r="L16" s="23">
        <v>250</v>
      </c>
      <c r="M16" s="23">
        <v>250</v>
      </c>
      <c r="N16" s="23"/>
      <c r="O16" s="23">
        <v>5000</v>
      </c>
      <c r="P16" s="23"/>
      <c r="Q16" s="23"/>
      <c r="R16" s="23"/>
      <c r="S16" s="74" t="s">
        <v>423</v>
      </c>
    </row>
    <row r="17" spans="1:19" s="52" customFormat="1" ht="78.75">
      <c r="A17" s="61">
        <v>20</v>
      </c>
      <c r="B17" s="43" t="s">
        <v>283</v>
      </c>
      <c r="C17" s="67" t="s">
        <v>430</v>
      </c>
      <c r="D17" s="66" t="s">
        <v>270</v>
      </c>
      <c r="E17" s="56"/>
      <c r="F17" s="56"/>
      <c r="G17" s="56"/>
      <c r="H17" s="55"/>
      <c r="I17" s="23">
        <v>300</v>
      </c>
      <c r="J17" s="23">
        <f t="shared" si="1"/>
        <v>300</v>
      </c>
      <c r="K17" s="29">
        <f t="shared" si="0"/>
        <v>0</v>
      </c>
      <c r="L17" s="23">
        <v>300</v>
      </c>
      <c r="M17" s="23">
        <v>300</v>
      </c>
      <c r="N17" s="23"/>
      <c r="O17" s="23"/>
      <c r="P17" s="23"/>
      <c r="Q17" s="23"/>
      <c r="R17" s="23"/>
      <c r="S17" s="74" t="s">
        <v>429</v>
      </c>
    </row>
    <row r="18" spans="1:19" s="52" customFormat="1" ht="78.75">
      <c r="A18" s="61">
        <v>21</v>
      </c>
      <c r="B18" s="43" t="s">
        <v>263</v>
      </c>
      <c r="C18" s="67" t="s">
        <v>432</v>
      </c>
      <c r="D18" s="66" t="s">
        <v>270</v>
      </c>
      <c r="E18" s="56"/>
      <c r="F18" s="56"/>
      <c r="G18" s="56"/>
      <c r="H18" s="55"/>
      <c r="I18" s="23">
        <f>L18+O18</f>
        <v>250</v>
      </c>
      <c r="J18" s="23">
        <f t="shared" si="1"/>
        <v>250</v>
      </c>
      <c r="K18" s="29">
        <f t="shared" si="0"/>
        <v>0</v>
      </c>
      <c r="L18" s="23">
        <v>250</v>
      </c>
      <c r="M18" s="23">
        <v>250</v>
      </c>
      <c r="N18" s="23"/>
      <c r="O18" s="23"/>
      <c r="P18" s="23"/>
      <c r="Q18" s="23"/>
      <c r="R18" s="23"/>
      <c r="S18" s="74" t="s">
        <v>424</v>
      </c>
    </row>
    <row r="19" spans="1:19" s="52" customFormat="1" ht="63">
      <c r="A19" s="61">
        <v>22</v>
      </c>
      <c r="B19" s="43" t="s">
        <v>263</v>
      </c>
      <c r="C19" s="67" t="s">
        <v>404</v>
      </c>
      <c r="D19" s="66" t="s">
        <v>270</v>
      </c>
      <c r="E19" s="56"/>
      <c r="F19" s="56"/>
      <c r="G19" s="56"/>
      <c r="H19" s="55"/>
      <c r="I19" s="23">
        <f>L19</f>
        <v>180</v>
      </c>
      <c r="J19" s="23">
        <f t="shared" si="1"/>
        <v>180</v>
      </c>
      <c r="K19" s="29">
        <f t="shared" si="0"/>
        <v>0</v>
      </c>
      <c r="L19" s="23">
        <v>180</v>
      </c>
      <c r="M19" s="23">
        <v>180</v>
      </c>
      <c r="N19" s="23"/>
      <c r="O19" s="23"/>
      <c r="P19" s="23"/>
      <c r="Q19" s="23"/>
      <c r="R19" s="23"/>
      <c r="S19" s="74" t="s">
        <v>425</v>
      </c>
    </row>
    <row r="20" spans="1:19" s="52" customFormat="1" ht="78.75">
      <c r="A20" s="61">
        <v>23</v>
      </c>
      <c r="B20" s="43" t="s">
        <v>288</v>
      </c>
      <c r="C20" s="67" t="s">
        <v>389</v>
      </c>
      <c r="D20" s="66" t="s">
        <v>270</v>
      </c>
      <c r="E20" s="56"/>
      <c r="F20" s="56"/>
      <c r="G20" s="56"/>
      <c r="H20" s="55"/>
      <c r="I20" s="23">
        <v>280</v>
      </c>
      <c r="J20" s="23">
        <f t="shared" si="1"/>
        <v>280</v>
      </c>
      <c r="K20" s="29">
        <f t="shared" si="0"/>
        <v>0</v>
      </c>
      <c r="L20" s="23">
        <v>280</v>
      </c>
      <c r="M20" s="23">
        <v>280</v>
      </c>
      <c r="N20" s="23"/>
      <c r="O20" s="23">
        <v>1000</v>
      </c>
      <c r="P20" s="23"/>
      <c r="Q20" s="23"/>
      <c r="R20" s="23"/>
      <c r="S20" s="74" t="s">
        <v>426</v>
      </c>
    </row>
    <row r="21" spans="1:19" s="52" customFormat="1" ht="63">
      <c r="A21" s="61">
        <v>24</v>
      </c>
      <c r="B21" s="43" t="s">
        <v>283</v>
      </c>
      <c r="C21" s="67" t="s">
        <v>405</v>
      </c>
      <c r="D21" s="66" t="s">
        <v>270</v>
      </c>
      <c r="E21" s="56"/>
      <c r="F21" s="56"/>
      <c r="G21" s="56"/>
      <c r="H21" s="55"/>
      <c r="I21" s="23">
        <v>300</v>
      </c>
      <c r="J21" s="23">
        <f t="shared" si="1"/>
        <v>300</v>
      </c>
      <c r="K21" s="29">
        <f t="shared" si="0"/>
        <v>0</v>
      </c>
      <c r="L21" s="23">
        <v>300</v>
      </c>
      <c r="M21" s="23">
        <v>300</v>
      </c>
      <c r="N21" s="23"/>
      <c r="O21" s="23">
        <v>3000</v>
      </c>
      <c r="P21" s="23">
        <v>250</v>
      </c>
      <c r="Q21" s="23"/>
      <c r="R21" s="23"/>
      <c r="S21" s="74" t="s">
        <v>427</v>
      </c>
    </row>
    <row r="22" spans="1:19" s="52" customFormat="1" ht="63">
      <c r="A22" s="61">
        <v>25</v>
      </c>
      <c r="B22" s="43" t="s">
        <v>291</v>
      </c>
      <c r="C22" s="67" t="s">
        <v>290</v>
      </c>
      <c r="D22" s="66" t="s">
        <v>270</v>
      </c>
      <c r="E22" s="56"/>
      <c r="F22" s="56"/>
      <c r="G22" s="56"/>
      <c r="H22" s="55"/>
      <c r="I22" s="23">
        <f>L22</f>
        <v>120</v>
      </c>
      <c r="J22" s="23">
        <f t="shared" si="1"/>
        <v>120</v>
      </c>
      <c r="K22" s="29">
        <f t="shared" si="0"/>
        <v>0</v>
      </c>
      <c r="L22" s="23">
        <v>120</v>
      </c>
      <c r="M22" s="23">
        <v>120</v>
      </c>
      <c r="N22" s="23"/>
      <c r="O22" s="23"/>
      <c r="P22" s="23"/>
      <c r="Q22" s="23"/>
      <c r="R22" s="23"/>
      <c r="S22" s="74" t="s">
        <v>415</v>
      </c>
    </row>
    <row r="23" spans="1:20" s="52" customFormat="1" ht="94.5">
      <c r="A23" s="61">
        <v>26</v>
      </c>
      <c r="B23" s="43" t="s">
        <v>263</v>
      </c>
      <c r="C23" s="63" t="s">
        <v>443</v>
      </c>
      <c r="D23" s="66" t="s">
        <v>270</v>
      </c>
      <c r="E23" s="56"/>
      <c r="F23" s="56"/>
      <c r="G23" s="56" t="s">
        <v>377</v>
      </c>
      <c r="H23" s="55"/>
      <c r="I23" s="23">
        <f>L23</f>
        <v>150</v>
      </c>
      <c r="J23" s="23">
        <f>I23</f>
        <v>150</v>
      </c>
      <c r="K23" s="29">
        <f>100-(J23/I23*100)</f>
        <v>0</v>
      </c>
      <c r="L23" s="23">
        <v>150</v>
      </c>
      <c r="M23" s="23">
        <v>150</v>
      </c>
      <c r="N23" s="23"/>
      <c r="O23" s="23"/>
      <c r="P23" s="23"/>
      <c r="Q23" s="23"/>
      <c r="R23" s="23"/>
      <c r="S23" s="85" t="s">
        <v>414</v>
      </c>
      <c r="T23" s="52" t="s">
        <v>272</v>
      </c>
    </row>
    <row r="24" spans="1:19" s="73" customFormat="1" ht="31.5">
      <c r="A24" s="70"/>
      <c r="B24" s="70"/>
      <c r="C24" s="71" t="s">
        <v>391</v>
      </c>
      <c r="D24" s="71"/>
      <c r="E24" s="71"/>
      <c r="F24" s="71"/>
      <c r="G24" s="71"/>
      <c r="H24" s="71"/>
      <c r="I24" s="72">
        <f>SUM(I25:I25)</f>
        <v>350</v>
      </c>
      <c r="J24" s="72">
        <f>SUM(J25:J25)</f>
        <v>350</v>
      </c>
      <c r="K24" s="72" t="s">
        <v>30</v>
      </c>
      <c r="L24" s="72">
        <f aca="true" t="shared" si="2" ref="L24:R24">SUM(L25:L25)</f>
        <v>350</v>
      </c>
      <c r="M24" s="72">
        <f t="shared" si="2"/>
        <v>350</v>
      </c>
      <c r="N24" s="72">
        <f t="shared" si="2"/>
        <v>0</v>
      </c>
      <c r="O24" s="72">
        <f t="shared" si="2"/>
        <v>0</v>
      </c>
      <c r="P24" s="72">
        <f t="shared" si="2"/>
        <v>0</v>
      </c>
      <c r="Q24" s="72">
        <f t="shared" si="2"/>
        <v>0</v>
      </c>
      <c r="R24" s="72">
        <f t="shared" si="2"/>
        <v>0</v>
      </c>
      <c r="S24" s="72"/>
    </row>
    <row r="25" spans="1:19" s="52" customFormat="1" ht="78.75">
      <c r="A25" s="61">
        <v>15</v>
      </c>
      <c r="B25" s="43" t="s">
        <v>365</v>
      </c>
      <c r="C25" s="25" t="s">
        <v>142</v>
      </c>
      <c r="D25" s="64" t="s">
        <v>270</v>
      </c>
      <c r="E25" s="64"/>
      <c r="F25" s="64"/>
      <c r="G25" s="64"/>
      <c r="H25" s="55"/>
      <c r="I25" s="23">
        <v>350</v>
      </c>
      <c r="J25" s="23">
        <f>I25</f>
        <v>350</v>
      </c>
      <c r="K25" s="29">
        <f>100-(J25/I25*100)</f>
        <v>0</v>
      </c>
      <c r="L25" s="23">
        <v>350</v>
      </c>
      <c r="M25" s="23">
        <v>350</v>
      </c>
      <c r="N25" s="23"/>
      <c r="O25" s="23"/>
      <c r="P25" s="23"/>
      <c r="Q25" s="23"/>
      <c r="R25" s="23"/>
      <c r="S25" s="25" t="s">
        <v>188</v>
      </c>
    </row>
    <row r="26" spans="1:19" s="73" customFormat="1" ht="31.5">
      <c r="A26" s="70"/>
      <c r="B26" s="70"/>
      <c r="C26" s="71" t="s">
        <v>394</v>
      </c>
      <c r="D26" s="71"/>
      <c r="E26" s="71"/>
      <c r="F26" s="71"/>
      <c r="G26" s="71"/>
      <c r="H26" s="71"/>
      <c r="I26" s="72">
        <f>SUM(I27:I28)</f>
        <v>3300</v>
      </c>
      <c r="J26" s="72">
        <f>SUM(J27:J28)</f>
        <v>3300</v>
      </c>
      <c r="K26" s="72" t="s">
        <v>30</v>
      </c>
      <c r="L26" s="72">
        <f aca="true" t="shared" si="3" ref="L26:R26">SUM(L27:L28)</f>
        <v>3300</v>
      </c>
      <c r="M26" s="72">
        <f t="shared" si="3"/>
        <v>3300</v>
      </c>
      <c r="N26" s="72">
        <f t="shared" si="3"/>
        <v>0</v>
      </c>
      <c r="O26" s="72">
        <f t="shared" si="3"/>
        <v>20000</v>
      </c>
      <c r="P26" s="72">
        <f t="shared" si="3"/>
        <v>0</v>
      </c>
      <c r="Q26" s="72">
        <f t="shared" si="3"/>
        <v>15000</v>
      </c>
      <c r="R26" s="72">
        <f t="shared" si="3"/>
        <v>0</v>
      </c>
      <c r="S26" s="72"/>
    </row>
    <row r="27" spans="1:19" s="52" customFormat="1" ht="94.5">
      <c r="A27" s="61">
        <v>7</v>
      </c>
      <c r="B27" s="43" t="s">
        <v>292</v>
      </c>
      <c r="C27" s="25" t="s">
        <v>55</v>
      </c>
      <c r="D27" s="64" t="s">
        <v>270</v>
      </c>
      <c r="E27" s="64"/>
      <c r="F27" s="64"/>
      <c r="G27" s="64"/>
      <c r="H27" s="55"/>
      <c r="I27" s="23">
        <f>L27+O27</f>
        <v>1200</v>
      </c>
      <c r="J27" s="23">
        <f>I27</f>
        <v>1200</v>
      </c>
      <c r="K27" s="29">
        <f>100-(J27/I27*100)</f>
        <v>0</v>
      </c>
      <c r="L27" s="23">
        <v>1200</v>
      </c>
      <c r="M27" s="23">
        <v>1200</v>
      </c>
      <c r="N27" s="23"/>
      <c r="O27" s="23"/>
      <c r="P27" s="23"/>
      <c r="Q27" s="23"/>
      <c r="R27" s="23"/>
      <c r="S27" s="25" t="s">
        <v>348</v>
      </c>
    </row>
    <row r="28" spans="1:19" s="52" customFormat="1" ht="78.75">
      <c r="A28" s="61">
        <v>8</v>
      </c>
      <c r="B28" s="43" t="s">
        <v>292</v>
      </c>
      <c r="C28" s="25" t="s">
        <v>319</v>
      </c>
      <c r="D28" s="64" t="s">
        <v>270</v>
      </c>
      <c r="E28" s="64"/>
      <c r="F28" s="64"/>
      <c r="G28" s="64"/>
      <c r="H28" s="55"/>
      <c r="I28" s="23">
        <v>2100</v>
      </c>
      <c r="J28" s="23">
        <f>I28</f>
        <v>2100</v>
      </c>
      <c r="K28" s="29">
        <f>100-(J28/I28*100)</f>
        <v>0</v>
      </c>
      <c r="L28" s="100">
        <v>2100</v>
      </c>
      <c r="M28" s="23">
        <v>2100</v>
      </c>
      <c r="N28" s="23"/>
      <c r="O28" s="23">
        <v>20000</v>
      </c>
      <c r="P28" s="23"/>
      <c r="Q28" s="23">
        <v>15000</v>
      </c>
      <c r="R28" s="23"/>
      <c r="S28" s="65" t="s">
        <v>353</v>
      </c>
    </row>
    <row r="29" spans="1:19" s="52" customFormat="1" ht="15.75">
      <c r="A29" s="77"/>
      <c r="B29" s="78"/>
      <c r="C29" s="79"/>
      <c r="D29" s="80"/>
      <c r="E29" s="80"/>
      <c r="F29" s="80"/>
      <c r="G29" s="80"/>
      <c r="H29" s="81"/>
      <c r="I29" s="94"/>
      <c r="J29" s="94"/>
      <c r="K29" s="82"/>
      <c r="L29" s="83"/>
      <c r="M29" s="83"/>
      <c r="N29" s="83"/>
      <c r="O29" s="83"/>
      <c r="P29" s="83"/>
      <c r="Q29" s="83"/>
      <c r="R29" s="83"/>
      <c r="S29" s="79"/>
    </row>
    <row r="30" spans="2:19" ht="40.5" customHeight="1">
      <c r="B30" s="149" t="s">
        <v>381</v>
      </c>
      <c r="C30" s="149"/>
      <c r="D30" s="149"/>
      <c r="E30" s="149"/>
      <c r="F30" s="149"/>
      <c r="G30" s="149"/>
      <c r="H30" s="149"/>
      <c r="I30" s="149"/>
      <c r="J30" s="149"/>
      <c r="S30" s="18" t="s">
        <v>382</v>
      </c>
    </row>
    <row r="31" ht="15.75">
      <c r="S31" s="18"/>
    </row>
    <row r="32" spans="1:8" ht="15.75">
      <c r="A32" s="18"/>
      <c r="C32" s="19"/>
      <c r="D32" s="57"/>
      <c r="E32" s="57"/>
      <c r="F32" s="57"/>
      <c r="G32" s="57"/>
      <c r="H32" s="57"/>
    </row>
  </sheetData>
  <sheetProtection/>
  <mergeCells count="17">
    <mergeCell ref="S3:S4"/>
    <mergeCell ref="A1:S1"/>
    <mergeCell ref="A3:A4"/>
    <mergeCell ref="B3:B4"/>
    <mergeCell ref="C3:C4"/>
    <mergeCell ref="D3:D4"/>
    <mergeCell ref="E3:E4"/>
    <mergeCell ref="F3:F4"/>
    <mergeCell ref="G3:G4"/>
    <mergeCell ref="H3:H4"/>
    <mergeCell ref="B30:J30"/>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0" max="1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cp:lastPrinted>2021-12-11T15:41:01Z</cp:lastPrinted>
  <dcterms:created xsi:type="dcterms:W3CDTF">2013-04-10T04:31:25Z</dcterms:created>
  <dcterms:modified xsi:type="dcterms:W3CDTF">2021-12-11T15:41:06Z</dcterms:modified>
  <cp:category/>
  <cp:version/>
  <cp:contentType/>
  <cp:contentStatus/>
</cp:coreProperties>
</file>