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'Лист1'!$A$1:$P$109</definedName>
  </definedNames>
  <calcPr fullCalcOnLoad="1"/>
</workbook>
</file>

<file path=xl/sharedStrings.xml><?xml version="1.0" encoding="utf-8"?>
<sst xmlns="http://schemas.openxmlformats.org/spreadsheetml/2006/main" count="261" uniqueCount="211">
  <si>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</si>
  <si>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</si>
  <si>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</si>
  <si>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</si>
  <si>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</si>
  <si>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</si>
  <si>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</si>
  <si>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</si>
  <si>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</si>
  <si>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</si>
  <si>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</si>
  <si>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</si>
  <si>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</si>
  <si>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</si>
  <si>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</si>
  <si>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</si>
  <si>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</si>
  <si>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</si>
  <si>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</si>
  <si>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</si>
  <si>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</si>
  <si>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</si>
  <si>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</si>
  <si>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</si>
  <si>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</si>
  <si>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</si>
  <si>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</si>
  <si>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</si>
  <si>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</si>
  <si>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</si>
  <si>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</si>
  <si>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</si>
  <si>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</si>
  <si>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</si>
  <si>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</si>
  <si>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</si>
  <si>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</si>
  <si>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</si>
  <si>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</si>
  <si>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</si>
  <si>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</si>
  <si>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в тому числі: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</si>
  <si>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</si>
  <si>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</si>
  <si>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</si>
  <si>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</si>
  <si>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</si>
  <si>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</si>
  <si>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</si>
  <si>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</si>
  <si>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</si>
  <si>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</si>
  <si>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</si>
  <si>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</si>
  <si>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</si>
  <si>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</si>
  <si>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</si>
  <si>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</si>
  <si>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</si>
  <si>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</si>
  <si>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</si>
  <si>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</si>
  <si>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</si>
  <si>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</si>
  <si>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</si>
  <si>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</si>
  <si>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</si>
  <si>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</si>
  <si>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</si>
  <si>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</si>
  <si>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</si>
  <si>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</si>
  <si>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</si>
  <si>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</si>
  <si>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</si>
  <si>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</si>
  <si>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</si>
  <si>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</si>
  <si>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</si>
  <si>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</si>
  <si>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</si>
  <si>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</si>
  <si>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</si>
  <si>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</si>
  <si>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</si>
  <si>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</si>
  <si>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</si>
  <si>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</si>
  <si>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</si>
  <si>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</si>
  <si>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</si>
  <si>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</si>
  <si>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Надання спеціальної освіти мистецькими школами</t>
  </si>
  <si>
    <t>0117130</t>
  </si>
  <si>
    <t>0421</t>
  </si>
  <si>
    <t xml:space="preserve">Здійснення заходів із землеустрою 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</si>
  <si>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</si>
  <si>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</si>
  <si>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</si>
  <si>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</si>
  <si>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</si>
  <si>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</si>
  <si>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0763</t>
  </si>
  <si>
    <t>за рахунок субвенції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</si>
  <si>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</si>
  <si>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</si>
  <si>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</si>
  <si>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</si>
  <si>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</si>
  <si>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</si>
  <si>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</si>
  <si>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</si>
  <si>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</si>
  <si>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</si>
  <si>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</si>
  <si>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</si>
  <si>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</si>
  <si>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</si>
  <si>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</si>
  <si>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</si>
  <si>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</si>
  <si>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</si>
  <si>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</si>
  <si>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</si>
  <si>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</si>
  <si>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</si>
  <si>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</si>
  <si>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</si>
  <si>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</si>
  <si>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</si>
  <si>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</si>
  <si>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</si>
  <si>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</si>
  <si>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</si>
  <si>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</si>
  <si>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</si>
  <si>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</si>
  <si>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</si>
  <si>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</si>
  <si>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</si>
  <si>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0111160</t>
  </si>
  <si>
    <t>Забезпечення діяльності центрів професійного розвитку педагогічних працівників</t>
  </si>
  <si>
    <t>0117330</t>
  </si>
  <si>
    <t>0443</t>
  </si>
  <si>
    <t>Будівництво інших об"єктів комунальної власності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</si>
  <si>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</si>
  <si>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</si>
  <si>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</si>
  <si>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</si>
  <si>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 xml:space="preserve">Надання загальної середньої освіти закладами  загальної середньої освіти </t>
  </si>
  <si>
    <t>0611031</t>
  </si>
  <si>
    <t>1031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</si>
  <si>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</si>
  <si>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</si>
  <si>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</si>
  <si>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</si>
  <si>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</si>
  <si>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</si>
  <si>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</si>
  <si>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</si>
  <si>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</si>
  <si>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</si>
  <si>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</si>
  <si>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</si>
  <si>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</si>
  <si>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</si>
  <si>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0611020</t>
  </si>
  <si>
    <t>1020</t>
  </si>
  <si>
    <t>Надання загальної середньої освіти за рахунок коштів місцевого бюджету</t>
  </si>
  <si>
    <t>0611030</t>
  </si>
  <si>
    <t>Надання загальної середньої освіти за рахунок освітньої субвенції</t>
  </si>
  <si>
    <t>0112144</t>
  </si>
  <si>
    <t>Централізовані заходи з лікування хворих на цукровий та нецукровий діабет</t>
  </si>
  <si>
    <t>2144</t>
  </si>
  <si>
    <t>Уточнений розподіл</t>
  </si>
  <si>
    <t>видатків бюджету Баштанської міської територіальної громади  на 2021 рік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</si>
  <si>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</si>
  <si>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</si>
  <si>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</si>
  <si>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</si>
  <si>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0117322</t>
  </si>
  <si>
    <t>7322</t>
  </si>
  <si>
    <t>Будівництво-1 медичних установ та закладів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</si>
  <si>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</si>
  <si>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</si>
  <si>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</si>
  <si>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</si>
  <si>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</si>
  <si>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0617321</t>
  </si>
  <si>
    <t>7321</t>
  </si>
  <si>
    <t>Будівництво-1 освітніх установ та закладів</t>
  </si>
  <si>
    <t>1017324</t>
  </si>
  <si>
    <t>7324</t>
  </si>
  <si>
    <t>Будівництво-1 установ та закладів культури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</si>
  <si>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</si>
  <si>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</si>
  <si>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0117650</t>
  </si>
  <si>
    <t>7650</t>
  </si>
  <si>
    <t>Проведення експертної грошової оцінки земельної ділянки чи права на неї</t>
  </si>
  <si>
    <t>0117370</t>
  </si>
  <si>
    <t>Реалізація інших заходів щодо соціально-економічного розвитку територій</t>
  </si>
  <si>
    <t>0112152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</si>
  <si>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</si>
  <si>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</si>
  <si>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</si>
  <si>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</si>
  <si>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0119770</t>
  </si>
  <si>
    <t>Інші субвенції з місцевого бюджету</t>
  </si>
  <si>
    <t>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</t>
  </si>
  <si>
    <t>Додаток 3</t>
  </si>
  <si>
    <t>09  квітня 2021 року №5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</si>
</sst>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180" fontId="54" fillId="0" borderId="10" xfId="0" applyNumberFormat="1" applyFont="1" applyBorder="1" applyAlignment="1">
      <alignment vertical="top"/>
    </xf>
    <xf numFmtId="180" fontId="5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4" fillId="34" borderId="10" xfId="0" applyNumberFormat="1" applyFont="1" applyFill="1" applyBorder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8" fillId="0" borderId="1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4" fillId="0" borderId="10" xfId="0" applyNumberFormat="1" applyFont="1" applyBorder="1" applyAlignment="1">
      <alignment vertical="top"/>
    </xf>
    <xf numFmtId="2" fontId="54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9" fillId="0" borderId="10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vertical="top"/>
    </xf>
    <xf numFmtId="2" fontId="0" fillId="0" borderId="0" xfId="0" applyNumberFormat="1" applyFont="1" applyAlignment="1">
      <alignment/>
    </xf>
    <xf numFmtId="180" fontId="7" fillId="0" borderId="11" xfId="0" applyNumberFormat="1" applyFont="1" applyBorder="1" applyAlignment="1">
      <alignment vertical="top" wrapText="1"/>
    </xf>
    <xf numFmtId="4" fontId="0" fillId="0" borderId="10" xfId="0" applyNumberFormat="1" applyFont="1" applyBorder="1" applyAlignment="1" quotePrefix="1">
      <alignment horizontal="center" vertical="top" wrapText="1"/>
    </xf>
    <xf numFmtId="4" fontId="0" fillId="0" borderId="10" xfId="0" applyNumberFormat="1" applyFont="1" applyBorder="1" applyAlignment="1" quotePrefix="1">
      <alignment vertical="top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6" borderId="12" xfId="0" applyNumberFormat="1" applyFont="1" applyFill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6" fillId="0" borderId="11" xfId="0" applyNumberFormat="1" applyFont="1" applyBorder="1" applyAlignment="1" quotePrefix="1">
      <alignment vertical="top" wrapText="1"/>
    </xf>
    <xf numFmtId="2" fontId="58" fillId="34" borderId="10" xfId="0" applyNumberFormat="1" applyFont="1" applyFill="1" applyBorder="1" applyAlignment="1">
      <alignment vertical="top" wrapText="1"/>
    </xf>
    <xf numFmtId="0" fontId="35" fillId="0" borderId="10" xfId="0" applyFont="1" applyBorder="1" applyAlignment="1" quotePrefix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view="pageBreakPreview" zoomScale="75" zoomScaleSheetLayoutView="75" workbookViewId="0" topLeftCell="C1">
      <pane ySplit="13" topLeftCell="A14" activePane="bottomLeft" state="frozen"/>
      <selection pane="topLeft" activeCell="B1" sqref="B1"/>
      <selection pane="bottomLeft" activeCell="F17" sqref="F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7" max="17" width="12.125" style="0" bestFit="1" customWidth="1"/>
    <col min="18" max="18" width="14.375" style="0" bestFit="1" customWidth="1"/>
  </cols>
  <sheetData>
    <row r="1" spans="1:14" ht="12.75">
      <c r="A1" t="s">
        <v>0</v>
      </c>
      <c r="N1" t="s">
        <v>209</v>
      </c>
    </row>
    <row r="2" ht="12.75">
      <c r="N2" t="s">
        <v>27</v>
      </c>
    </row>
    <row r="3" ht="12.75">
      <c r="N3" t="s">
        <v>210</v>
      </c>
    </row>
    <row r="5" spans="1:16" ht="12.75">
      <c r="A5" s="136" t="s">
        <v>174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2.75">
      <c r="A6" s="136" t="s">
        <v>175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2"/>
      <c r="B8" s="145">
        <v>14502000000</v>
      </c>
      <c r="C8" s="145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6" ht="12.75">
      <c r="B9" s="146" t="s">
        <v>87</v>
      </c>
      <c r="C9" s="146"/>
      <c r="P9" s="1" t="s">
        <v>84</v>
      </c>
    </row>
    <row r="10" spans="1:16" ht="12.75">
      <c r="A10" s="138" t="s">
        <v>88</v>
      </c>
      <c r="B10" s="138" t="s">
        <v>89</v>
      </c>
      <c r="C10" s="138" t="s">
        <v>81</v>
      </c>
      <c r="D10" s="139" t="s">
        <v>90</v>
      </c>
      <c r="E10" s="139" t="s">
        <v>1</v>
      </c>
      <c r="F10" s="139"/>
      <c r="G10" s="139"/>
      <c r="H10" s="139"/>
      <c r="I10" s="139"/>
      <c r="J10" s="139" t="s">
        <v>8</v>
      </c>
      <c r="K10" s="139"/>
      <c r="L10" s="139"/>
      <c r="M10" s="139"/>
      <c r="N10" s="139"/>
      <c r="O10" s="139"/>
      <c r="P10" s="140" t="s">
        <v>35</v>
      </c>
    </row>
    <row r="11" spans="1:16" ht="12.75">
      <c r="A11" s="139"/>
      <c r="B11" s="139"/>
      <c r="C11" s="139"/>
      <c r="D11" s="139"/>
      <c r="E11" s="140" t="s">
        <v>82</v>
      </c>
      <c r="F11" s="139" t="s">
        <v>3</v>
      </c>
      <c r="G11" s="139" t="s">
        <v>4</v>
      </c>
      <c r="H11" s="139"/>
      <c r="I11" s="139" t="s">
        <v>7</v>
      </c>
      <c r="J11" s="140" t="s">
        <v>82</v>
      </c>
      <c r="K11" s="141" t="s">
        <v>83</v>
      </c>
      <c r="L11" s="139" t="s">
        <v>3</v>
      </c>
      <c r="M11" s="139" t="s">
        <v>4</v>
      </c>
      <c r="N11" s="139"/>
      <c r="O11" s="139" t="s">
        <v>7</v>
      </c>
      <c r="P11" s="139"/>
    </row>
    <row r="12" spans="1:16" ht="12.75" customHeight="1">
      <c r="A12" s="139"/>
      <c r="B12" s="139"/>
      <c r="C12" s="139"/>
      <c r="D12" s="139"/>
      <c r="E12" s="139"/>
      <c r="F12" s="139"/>
      <c r="G12" s="139" t="s">
        <v>5</v>
      </c>
      <c r="H12" s="139" t="s">
        <v>6</v>
      </c>
      <c r="I12" s="139"/>
      <c r="J12" s="139"/>
      <c r="K12" s="142"/>
      <c r="L12" s="139"/>
      <c r="M12" s="139" t="s">
        <v>5</v>
      </c>
      <c r="N12" s="139" t="s">
        <v>6</v>
      </c>
      <c r="O12" s="139"/>
      <c r="P12" s="139"/>
    </row>
    <row r="13" spans="1:16" ht="58.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43"/>
      <c r="L13" s="139"/>
      <c r="M13" s="139"/>
      <c r="N13" s="139"/>
      <c r="O13" s="139"/>
      <c r="P13" s="139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9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70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70"/>
      <c r="L16" s="11"/>
      <c r="M16" s="11"/>
      <c r="N16" s="11"/>
      <c r="O16" s="11"/>
      <c r="P16" s="10"/>
    </row>
    <row r="17" spans="1:16" s="54" customFormat="1" ht="87.75" customHeight="1">
      <c r="A17" s="35" t="s">
        <v>46</v>
      </c>
      <c r="B17" s="35" t="s">
        <v>47</v>
      </c>
      <c r="C17" s="36" t="s">
        <v>12</v>
      </c>
      <c r="D17" s="34" t="s">
        <v>38</v>
      </c>
      <c r="E17" s="76">
        <f aca="true" t="shared" si="0" ref="E17:E24">F17+I17</f>
        <v>20788982</v>
      </c>
      <c r="F17" s="89">
        <f>19762695+25300+581400+310900+74606+17700+46381-30000</f>
        <v>20788982</v>
      </c>
      <c r="G17" s="89">
        <f>14816808+476600+254900</f>
        <v>15548308</v>
      </c>
      <c r="H17" s="89">
        <f>588647+15000+31900</f>
        <v>635547</v>
      </c>
      <c r="I17" s="89">
        <v>0</v>
      </c>
      <c r="J17" s="76">
        <f>L17+O17</f>
        <v>168239</v>
      </c>
      <c r="K17" s="88">
        <f>145473+30000-12273</f>
        <v>163200</v>
      </c>
      <c r="L17" s="89">
        <v>5039</v>
      </c>
      <c r="M17" s="89">
        <v>0</v>
      </c>
      <c r="N17" s="89">
        <v>0</v>
      </c>
      <c r="O17" s="89">
        <f>145473+30000-12273</f>
        <v>163200</v>
      </c>
      <c r="P17" s="76">
        <f aca="true" t="shared" si="1" ref="P17:P24">E17+J17</f>
        <v>20957221</v>
      </c>
    </row>
    <row r="18" spans="1:16" s="54" customFormat="1" ht="64.5" customHeight="1">
      <c r="A18" s="35" t="s">
        <v>122</v>
      </c>
      <c r="B18" s="35" t="s">
        <v>44</v>
      </c>
      <c r="C18" s="36" t="s">
        <v>12</v>
      </c>
      <c r="D18" s="87" t="s">
        <v>145</v>
      </c>
      <c r="E18" s="76">
        <f t="shared" si="0"/>
        <v>452660</v>
      </c>
      <c r="F18" s="89">
        <f>509660-57000</f>
        <v>452660</v>
      </c>
      <c r="G18" s="89">
        <f>365460-46700</f>
        <v>318760</v>
      </c>
      <c r="H18" s="89">
        <v>37300</v>
      </c>
      <c r="I18" s="89"/>
      <c r="J18" s="76"/>
      <c r="K18" s="88"/>
      <c r="L18" s="98"/>
      <c r="M18" s="89"/>
      <c r="N18" s="89"/>
      <c r="O18" s="89"/>
      <c r="P18" s="76">
        <f t="shared" si="1"/>
        <v>452660</v>
      </c>
    </row>
    <row r="19" spans="1:16" s="54" customFormat="1" ht="42.75" customHeight="1">
      <c r="A19" s="35" t="s">
        <v>120</v>
      </c>
      <c r="B19" s="35" t="s">
        <v>23</v>
      </c>
      <c r="C19" s="36" t="s">
        <v>22</v>
      </c>
      <c r="D19" s="87" t="s">
        <v>121</v>
      </c>
      <c r="E19" s="76">
        <f t="shared" si="0"/>
        <v>500500</v>
      </c>
      <c r="F19" s="89">
        <f>301600+74900+124000</f>
        <v>500500</v>
      </c>
      <c r="G19" s="89"/>
      <c r="H19" s="89"/>
      <c r="I19" s="89"/>
      <c r="J19" s="76"/>
      <c r="K19" s="88"/>
      <c r="L19" s="98"/>
      <c r="M19" s="89"/>
      <c r="N19" s="89"/>
      <c r="O19" s="89"/>
      <c r="P19" s="76">
        <f t="shared" si="1"/>
        <v>500500</v>
      </c>
    </row>
    <row r="20" spans="1:16" s="54" customFormat="1" ht="48.75" customHeight="1">
      <c r="A20" s="35" t="s">
        <v>140</v>
      </c>
      <c r="B20" s="35">
        <v>1160</v>
      </c>
      <c r="C20" s="36" t="s">
        <v>15</v>
      </c>
      <c r="D20" s="87" t="s">
        <v>141</v>
      </c>
      <c r="E20" s="76">
        <f t="shared" si="0"/>
        <v>939168</v>
      </c>
      <c r="F20" s="89">
        <f>996858-43500-14190</f>
        <v>939168</v>
      </c>
      <c r="G20" s="89">
        <f>812332-70048</f>
        <v>742284</v>
      </c>
      <c r="H20" s="89">
        <v>17028</v>
      </c>
      <c r="I20" s="89"/>
      <c r="J20" s="76">
        <f>L20+O20</f>
        <v>43500</v>
      </c>
      <c r="K20" s="88">
        <v>43500</v>
      </c>
      <c r="L20" s="98"/>
      <c r="M20" s="89"/>
      <c r="N20" s="89"/>
      <c r="O20" s="89">
        <v>43500</v>
      </c>
      <c r="P20" s="76">
        <f t="shared" si="1"/>
        <v>982668</v>
      </c>
    </row>
    <row r="21" spans="1:16" s="54" customFormat="1" ht="42" customHeight="1">
      <c r="A21" s="35" t="s">
        <v>131</v>
      </c>
      <c r="B21" s="35">
        <v>2010</v>
      </c>
      <c r="C21" s="85" t="s">
        <v>98</v>
      </c>
      <c r="D21" s="87" t="s">
        <v>99</v>
      </c>
      <c r="E21" s="76">
        <f t="shared" si="0"/>
        <v>2686488</v>
      </c>
      <c r="F21" s="89">
        <f>1656010+513400-33500+529900+20678</f>
        <v>2686488</v>
      </c>
      <c r="G21" s="89"/>
      <c r="H21" s="89"/>
      <c r="I21" s="89"/>
      <c r="J21" s="76"/>
      <c r="K21" s="88"/>
      <c r="L21" s="98"/>
      <c r="M21" s="89"/>
      <c r="N21" s="89"/>
      <c r="O21" s="89"/>
      <c r="P21" s="76">
        <f t="shared" si="1"/>
        <v>2686488</v>
      </c>
    </row>
    <row r="22" spans="1:16" s="54" customFormat="1" ht="51.75" customHeight="1">
      <c r="A22" s="35" t="s">
        <v>100</v>
      </c>
      <c r="B22" s="35">
        <v>2111</v>
      </c>
      <c r="C22" s="85" t="s">
        <v>101</v>
      </c>
      <c r="D22" s="86" t="s">
        <v>135</v>
      </c>
      <c r="E22" s="76">
        <f t="shared" si="0"/>
        <v>1975309.72</v>
      </c>
      <c r="F22" s="89">
        <f>1046325+243298-8698-5188.09+699572.81</f>
        <v>1975309.72</v>
      </c>
      <c r="G22" s="89"/>
      <c r="H22" s="89"/>
      <c r="I22" s="89"/>
      <c r="J22" s="76">
        <f>L22+O22</f>
        <v>60000</v>
      </c>
      <c r="K22" s="88">
        <v>60000</v>
      </c>
      <c r="L22" s="89"/>
      <c r="M22" s="89"/>
      <c r="N22" s="89"/>
      <c r="O22" s="89">
        <v>60000</v>
      </c>
      <c r="P22" s="76">
        <f t="shared" si="1"/>
        <v>2035309.72</v>
      </c>
    </row>
    <row r="23" spans="1:16" s="54" customFormat="1" ht="36" customHeight="1">
      <c r="A23" s="124" t="s">
        <v>201</v>
      </c>
      <c r="B23" s="132">
        <v>2152</v>
      </c>
      <c r="C23" s="125" t="s">
        <v>102</v>
      </c>
      <c r="D23" s="133" t="s">
        <v>202</v>
      </c>
      <c r="E23" s="76">
        <f t="shared" si="0"/>
        <v>52498</v>
      </c>
      <c r="F23" s="89">
        <f>30000+5800+8698+8000</f>
        <v>52498</v>
      </c>
      <c r="G23" s="89"/>
      <c r="H23" s="89"/>
      <c r="I23" s="89"/>
      <c r="J23" s="76">
        <f>L23+O23</f>
        <v>15000</v>
      </c>
      <c r="K23" s="88">
        <v>15000</v>
      </c>
      <c r="L23" s="89"/>
      <c r="M23" s="89"/>
      <c r="N23" s="89"/>
      <c r="O23" s="89">
        <v>15000</v>
      </c>
      <c r="P23" s="76">
        <f t="shared" si="1"/>
        <v>67498</v>
      </c>
    </row>
    <row r="24" spans="1:16" s="54" customFormat="1" ht="42" customHeight="1">
      <c r="A24" s="35" t="s">
        <v>171</v>
      </c>
      <c r="B24" s="67" t="s">
        <v>173</v>
      </c>
      <c r="C24" s="85" t="s">
        <v>102</v>
      </c>
      <c r="D24" s="118" t="s">
        <v>172</v>
      </c>
      <c r="E24" s="76">
        <f t="shared" si="0"/>
        <v>498500</v>
      </c>
      <c r="F24" s="89">
        <f>343000+59800+95700</f>
        <v>498500</v>
      </c>
      <c r="G24" s="89"/>
      <c r="H24" s="89"/>
      <c r="I24" s="89"/>
      <c r="J24" s="76"/>
      <c r="K24" s="88"/>
      <c r="L24" s="89"/>
      <c r="M24" s="89"/>
      <c r="N24" s="89"/>
      <c r="O24" s="89"/>
      <c r="P24" s="76">
        <f t="shared" si="1"/>
        <v>498500</v>
      </c>
    </row>
    <row r="25" spans="1:16" s="54" customFormat="1" ht="21" customHeight="1">
      <c r="A25" s="35"/>
      <c r="B25" s="35"/>
      <c r="C25" s="85"/>
      <c r="D25" s="86" t="s">
        <v>41</v>
      </c>
      <c r="E25" s="76"/>
      <c r="F25" s="89"/>
      <c r="G25" s="89"/>
      <c r="H25" s="89"/>
      <c r="I25" s="89"/>
      <c r="J25" s="76"/>
      <c r="K25" s="88"/>
      <c r="L25" s="89"/>
      <c r="M25" s="89"/>
      <c r="N25" s="89"/>
      <c r="O25" s="89"/>
      <c r="P25" s="76"/>
    </row>
    <row r="26" spans="1:16" s="54" customFormat="1" ht="70.5" customHeight="1">
      <c r="A26" s="35"/>
      <c r="B26" s="35"/>
      <c r="C26" s="85"/>
      <c r="D26" s="86" t="s">
        <v>103</v>
      </c>
      <c r="E26" s="76">
        <f aca="true" t="shared" si="2" ref="E26:E36">F26+I26</f>
        <v>498500</v>
      </c>
      <c r="F26" s="89">
        <f>343000+59800+95700</f>
        <v>498500</v>
      </c>
      <c r="G26" s="89"/>
      <c r="H26" s="89"/>
      <c r="I26" s="89"/>
      <c r="J26" s="76"/>
      <c r="K26" s="88"/>
      <c r="L26" s="89"/>
      <c r="M26" s="89"/>
      <c r="N26" s="89"/>
      <c r="O26" s="89"/>
      <c r="P26" s="76">
        <f aca="true" t="shared" si="3" ref="P26:P36">E26+J26</f>
        <v>498500</v>
      </c>
    </row>
    <row r="27" spans="1:16" s="54" customFormat="1" ht="36.75" customHeight="1">
      <c r="A27" s="35" t="s">
        <v>30</v>
      </c>
      <c r="B27" s="35"/>
      <c r="C27" s="36"/>
      <c r="D27" s="38" t="s">
        <v>31</v>
      </c>
      <c r="E27" s="76">
        <f t="shared" si="2"/>
        <v>7560979</v>
      </c>
      <c r="F27" s="89">
        <f>F37+F39+F41+F28+F29+F30+F31+F32+F33+F35+F36+F34</f>
        <v>7560979</v>
      </c>
      <c r="G27" s="89">
        <f>G37+G39+G41+G28+G29+G30+G31+G32+G33+G35+G36+G34</f>
        <v>4317763</v>
      </c>
      <c r="H27" s="89">
        <f>H37+H39+H41+H28+H29+H30+H31+H32+H33+H35+H36+H34</f>
        <v>341530</v>
      </c>
      <c r="I27" s="89">
        <f>I37+I39+I41+I28+I29+I30+I31+I32+I33+I35+I36+I34</f>
        <v>0</v>
      </c>
      <c r="J27" s="76">
        <f>L27+O27</f>
        <v>387100</v>
      </c>
      <c r="K27" s="89">
        <f>K37+K39+K41+K28+K29+K30+K31+K32+K33+K35+K36</f>
        <v>0</v>
      </c>
      <c r="L27" s="89">
        <f>L37+L39+L41+L28+L29+L30+L31+L32+L33+L35+L36</f>
        <v>387100</v>
      </c>
      <c r="M27" s="89">
        <f>M37+M39+M41+M28+M29+M30+M31+M32+M33+M35+M36</f>
        <v>55000</v>
      </c>
      <c r="N27" s="89">
        <f>N37+N39+N41+N28+N29+N30+N31+N32+N33+N35+N36</f>
        <v>0</v>
      </c>
      <c r="O27" s="89">
        <f>O37+O39+O41+O28+O29+O30+O31+O32+O33+O35+O36</f>
        <v>0</v>
      </c>
      <c r="P27" s="76">
        <f t="shared" si="3"/>
        <v>7948079</v>
      </c>
    </row>
    <row r="28" spans="1:16" s="54" customFormat="1" ht="36.75" customHeight="1">
      <c r="A28" s="27" t="s">
        <v>111</v>
      </c>
      <c r="B28" s="107">
        <v>3032</v>
      </c>
      <c r="C28" s="111">
        <v>1070</v>
      </c>
      <c r="D28" s="108" t="s">
        <v>112</v>
      </c>
      <c r="E28" s="76">
        <f t="shared" si="2"/>
        <v>65000</v>
      </c>
      <c r="F28" s="89">
        <v>65000</v>
      </c>
      <c r="G28" s="89"/>
      <c r="H28" s="89"/>
      <c r="I28" s="89"/>
      <c r="J28" s="76"/>
      <c r="K28" s="89"/>
      <c r="L28" s="89"/>
      <c r="M28" s="89"/>
      <c r="N28" s="89"/>
      <c r="O28" s="89"/>
      <c r="P28" s="76">
        <f t="shared" si="3"/>
        <v>65000</v>
      </c>
    </row>
    <row r="29" spans="1:16" s="54" customFormat="1" ht="48" customHeight="1">
      <c r="A29" s="27" t="s">
        <v>110</v>
      </c>
      <c r="B29" s="107">
        <v>3033</v>
      </c>
      <c r="C29" s="111">
        <v>1070</v>
      </c>
      <c r="D29" s="108" t="s">
        <v>113</v>
      </c>
      <c r="E29" s="76">
        <f t="shared" si="2"/>
        <v>5000</v>
      </c>
      <c r="F29" s="89">
        <v>5000</v>
      </c>
      <c r="G29" s="89"/>
      <c r="H29" s="89"/>
      <c r="I29" s="89"/>
      <c r="J29" s="76"/>
      <c r="K29" s="89"/>
      <c r="L29" s="89"/>
      <c r="M29" s="89"/>
      <c r="N29" s="89"/>
      <c r="O29" s="89"/>
      <c r="P29" s="76">
        <f t="shared" si="3"/>
        <v>5000</v>
      </c>
    </row>
    <row r="30" spans="1:16" s="54" customFormat="1" ht="52.5" customHeight="1">
      <c r="A30" s="27" t="s">
        <v>114</v>
      </c>
      <c r="B30" s="107">
        <v>3035</v>
      </c>
      <c r="C30" s="111">
        <v>1070</v>
      </c>
      <c r="D30" s="108" t="s">
        <v>115</v>
      </c>
      <c r="E30" s="76">
        <f t="shared" si="2"/>
        <v>45000</v>
      </c>
      <c r="F30" s="89">
        <v>45000</v>
      </c>
      <c r="G30" s="89"/>
      <c r="H30" s="89"/>
      <c r="I30" s="89"/>
      <c r="J30" s="76"/>
      <c r="K30" s="89"/>
      <c r="L30" s="89"/>
      <c r="M30" s="89"/>
      <c r="N30" s="89"/>
      <c r="O30" s="89"/>
      <c r="P30" s="76">
        <f t="shared" si="3"/>
        <v>45000</v>
      </c>
    </row>
    <row r="31" spans="1:16" s="54" customFormat="1" ht="46.5" customHeight="1">
      <c r="A31" s="27" t="s">
        <v>104</v>
      </c>
      <c r="B31" s="107">
        <v>3050</v>
      </c>
      <c r="C31" s="28" t="s">
        <v>105</v>
      </c>
      <c r="D31" s="108" t="s">
        <v>106</v>
      </c>
      <c r="E31" s="76">
        <f t="shared" si="2"/>
        <v>98800</v>
      </c>
      <c r="F31" s="89">
        <v>98800</v>
      </c>
      <c r="G31" s="89"/>
      <c r="H31" s="89"/>
      <c r="I31" s="89"/>
      <c r="J31" s="76"/>
      <c r="K31" s="89"/>
      <c r="L31" s="89"/>
      <c r="M31" s="89"/>
      <c r="N31" s="89"/>
      <c r="O31" s="89"/>
      <c r="P31" s="76">
        <f t="shared" si="3"/>
        <v>98800</v>
      </c>
    </row>
    <row r="32" spans="1:16" s="54" customFormat="1" ht="46.5" customHeight="1">
      <c r="A32" s="27" t="s">
        <v>107</v>
      </c>
      <c r="B32" s="107">
        <v>3090</v>
      </c>
      <c r="C32" s="109">
        <v>1030</v>
      </c>
      <c r="D32" s="108" t="s">
        <v>108</v>
      </c>
      <c r="E32" s="76">
        <f t="shared" si="2"/>
        <v>14100</v>
      </c>
      <c r="F32" s="89">
        <v>14100</v>
      </c>
      <c r="G32" s="89"/>
      <c r="H32" s="89"/>
      <c r="I32" s="89"/>
      <c r="J32" s="76"/>
      <c r="K32" s="89"/>
      <c r="L32" s="89"/>
      <c r="M32" s="89"/>
      <c r="N32" s="89"/>
      <c r="O32" s="89"/>
      <c r="P32" s="76">
        <f t="shared" si="3"/>
        <v>14100</v>
      </c>
    </row>
    <row r="33" spans="1:16" s="54" customFormat="1" ht="67.5" customHeight="1">
      <c r="A33" s="27" t="s">
        <v>118</v>
      </c>
      <c r="B33" s="107">
        <v>3104</v>
      </c>
      <c r="C33" s="109">
        <v>1020</v>
      </c>
      <c r="D33" s="108" t="s">
        <v>119</v>
      </c>
      <c r="E33" s="76">
        <f t="shared" si="2"/>
        <v>6353791</v>
      </c>
      <c r="F33" s="89">
        <f>6017230-141100-100000+218197+359464</f>
        <v>6353791</v>
      </c>
      <c r="G33" s="89">
        <f>4061200-159554+142317+273800</f>
        <v>4317763</v>
      </c>
      <c r="H33" s="89">
        <v>341530</v>
      </c>
      <c r="I33" s="89"/>
      <c r="J33" s="76">
        <f>L33+O33</f>
        <v>387100</v>
      </c>
      <c r="K33" s="89"/>
      <c r="L33" s="89">
        <f>87100+300000</f>
        <v>387100</v>
      </c>
      <c r="M33" s="89">
        <v>55000</v>
      </c>
      <c r="N33" s="89"/>
      <c r="O33" s="89"/>
      <c r="P33" s="76">
        <f t="shared" si="3"/>
        <v>6740891</v>
      </c>
    </row>
    <row r="34" spans="1:16" s="54" customFormat="1" ht="79.5" customHeight="1">
      <c r="A34" s="107" t="s">
        <v>176</v>
      </c>
      <c r="B34" s="107" t="s">
        <v>177</v>
      </c>
      <c r="C34" s="119" t="s">
        <v>178</v>
      </c>
      <c r="D34" s="120" t="s">
        <v>179</v>
      </c>
      <c r="E34" s="76">
        <f t="shared" si="2"/>
        <v>8498</v>
      </c>
      <c r="F34" s="89">
        <v>8498</v>
      </c>
      <c r="G34" s="89"/>
      <c r="H34" s="89"/>
      <c r="I34" s="89"/>
      <c r="J34" s="76"/>
      <c r="K34" s="89"/>
      <c r="L34" s="89"/>
      <c r="M34" s="89"/>
      <c r="N34" s="89"/>
      <c r="O34" s="89"/>
      <c r="P34" s="76">
        <f t="shared" si="3"/>
        <v>8498</v>
      </c>
    </row>
    <row r="35" spans="1:16" s="54" customFormat="1" ht="102" customHeight="1">
      <c r="A35" s="27" t="s">
        <v>116</v>
      </c>
      <c r="B35" s="107">
        <v>3160</v>
      </c>
      <c r="C35" s="109">
        <v>1010</v>
      </c>
      <c r="D35" s="108" t="s">
        <v>117</v>
      </c>
      <c r="E35" s="76">
        <f t="shared" si="2"/>
        <v>145990</v>
      </c>
      <c r="F35" s="89">
        <f>220000-74010</f>
        <v>145990</v>
      </c>
      <c r="G35" s="89"/>
      <c r="H35" s="89"/>
      <c r="I35" s="89"/>
      <c r="J35" s="76"/>
      <c r="K35" s="89"/>
      <c r="L35" s="89"/>
      <c r="M35" s="89"/>
      <c r="N35" s="89"/>
      <c r="O35" s="89"/>
      <c r="P35" s="76">
        <f t="shared" si="3"/>
        <v>145990</v>
      </c>
    </row>
    <row r="36" spans="1:16" s="54" customFormat="1" ht="63" customHeight="1">
      <c r="A36" s="110" t="s">
        <v>109</v>
      </c>
      <c r="B36" s="107">
        <v>3171</v>
      </c>
      <c r="C36" s="109">
        <v>1010</v>
      </c>
      <c r="D36" s="108" t="s">
        <v>130</v>
      </c>
      <c r="E36" s="76">
        <f t="shared" si="2"/>
        <v>13300</v>
      </c>
      <c r="F36" s="89">
        <v>13300</v>
      </c>
      <c r="G36" s="89"/>
      <c r="H36" s="89"/>
      <c r="I36" s="89"/>
      <c r="J36" s="76"/>
      <c r="K36" s="89"/>
      <c r="L36" s="89"/>
      <c r="M36" s="89"/>
      <c r="N36" s="89"/>
      <c r="O36" s="89"/>
      <c r="P36" s="76">
        <f t="shared" si="3"/>
        <v>13300</v>
      </c>
    </row>
    <row r="37" spans="1:16" s="54" customFormat="1" ht="87.75" customHeight="1">
      <c r="A37" s="27" t="s">
        <v>49</v>
      </c>
      <c r="B37" s="27">
        <v>3180</v>
      </c>
      <c r="C37" s="28" t="s">
        <v>39</v>
      </c>
      <c r="D37" s="31" t="s">
        <v>48</v>
      </c>
      <c r="E37" s="76">
        <f>F37+I37</f>
        <v>35000</v>
      </c>
      <c r="F37" s="89">
        <f>45000-10000</f>
        <v>35000</v>
      </c>
      <c r="G37" s="89"/>
      <c r="H37" s="89"/>
      <c r="I37" s="89"/>
      <c r="J37" s="76"/>
      <c r="K37" s="88"/>
      <c r="L37" s="89"/>
      <c r="M37" s="89"/>
      <c r="N37" s="89"/>
      <c r="O37" s="89"/>
      <c r="P37" s="76">
        <f>E37+J37</f>
        <v>35000</v>
      </c>
    </row>
    <row r="38" spans="1:16" s="54" customFormat="1" ht="17.25" customHeight="1">
      <c r="A38" s="27"/>
      <c r="B38" s="29"/>
      <c r="C38" s="30"/>
      <c r="D38" s="40"/>
      <c r="E38" s="76"/>
      <c r="F38" s="89"/>
      <c r="G38" s="89"/>
      <c r="H38" s="89"/>
      <c r="I38" s="89"/>
      <c r="J38" s="76"/>
      <c r="K38" s="88"/>
      <c r="L38" s="89"/>
      <c r="M38" s="89"/>
      <c r="N38" s="89"/>
      <c r="O38" s="89"/>
      <c r="P38" s="76"/>
    </row>
    <row r="39" spans="1:16" s="54" customFormat="1" ht="25.5">
      <c r="A39" s="24" t="s">
        <v>79</v>
      </c>
      <c r="B39" s="24" t="s">
        <v>80</v>
      </c>
      <c r="C39" s="17" t="s">
        <v>16</v>
      </c>
      <c r="D39" s="25" t="s">
        <v>36</v>
      </c>
      <c r="E39" s="76">
        <f>I39+F39</f>
        <v>444200</v>
      </c>
      <c r="F39" s="89">
        <f>211000+120000+23200+30000+60000</f>
        <v>444200</v>
      </c>
      <c r="G39" s="89"/>
      <c r="H39" s="89"/>
      <c r="I39" s="89"/>
      <c r="J39" s="76"/>
      <c r="K39" s="88"/>
      <c r="L39" s="89"/>
      <c r="M39" s="89"/>
      <c r="N39" s="89"/>
      <c r="O39" s="89"/>
      <c r="P39" s="76">
        <f aca="true" t="shared" si="4" ref="P39:P58">E39+J39</f>
        <v>444200</v>
      </c>
    </row>
    <row r="40" spans="1:16" s="54" customFormat="1" ht="12.75" customHeight="1">
      <c r="A40" s="35"/>
      <c r="B40" s="35"/>
      <c r="C40" s="36"/>
      <c r="D40" s="39"/>
      <c r="E40" s="76"/>
      <c r="F40" s="89"/>
      <c r="G40" s="89"/>
      <c r="H40" s="89"/>
      <c r="I40" s="89"/>
      <c r="J40" s="76"/>
      <c r="K40" s="88"/>
      <c r="L40" s="89"/>
      <c r="M40" s="89"/>
      <c r="N40" s="89"/>
      <c r="O40" s="89"/>
      <c r="P40" s="76"/>
    </row>
    <row r="41" spans="1:16" s="54" customFormat="1" ht="33.75" customHeight="1">
      <c r="A41" s="35" t="s">
        <v>74</v>
      </c>
      <c r="B41" s="35">
        <v>3242</v>
      </c>
      <c r="C41" s="36" t="s">
        <v>17</v>
      </c>
      <c r="D41" s="38" t="s">
        <v>73</v>
      </c>
      <c r="E41" s="76">
        <f>F41+I41</f>
        <v>332300</v>
      </c>
      <c r="F41" s="89">
        <f>312000+20300</f>
        <v>332300</v>
      </c>
      <c r="G41" s="89">
        <v>0</v>
      </c>
      <c r="H41" s="89">
        <v>0</v>
      </c>
      <c r="I41" s="89">
        <v>0</v>
      </c>
      <c r="J41" s="76">
        <v>0</v>
      </c>
      <c r="K41" s="88"/>
      <c r="L41" s="89">
        <v>0</v>
      </c>
      <c r="M41" s="89">
        <v>0</v>
      </c>
      <c r="N41" s="89">
        <v>0</v>
      </c>
      <c r="O41" s="89">
        <v>0</v>
      </c>
      <c r="P41" s="76">
        <f t="shared" si="4"/>
        <v>332300</v>
      </c>
    </row>
    <row r="42" spans="1:16" s="54" customFormat="1" ht="12.75" customHeight="1">
      <c r="A42" s="35"/>
      <c r="B42" s="35"/>
      <c r="C42" s="36"/>
      <c r="D42" s="38"/>
      <c r="E42" s="76"/>
      <c r="F42" s="89"/>
      <c r="G42" s="89"/>
      <c r="H42" s="89"/>
      <c r="I42" s="89"/>
      <c r="J42" s="76"/>
      <c r="K42" s="88"/>
      <c r="L42" s="89"/>
      <c r="M42" s="89"/>
      <c r="N42" s="89"/>
      <c r="O42" s="89"/>
      <c r="P42" s="76"/>
    </row>
    <row r="43" spans="1:16" s="54" customFormat="1" ht="2.25" customHeight="1">
      <c r="A43" s="35"/>
      <c r="B43" s="35"/>
      <c r="C43" s="36"/>
      <c r="D43" s="39"/>
      <c r="E43" s="76"/>
      <c r="F43" s="89"/>
      <c r="G43" s="89"/>
      <c r="H43" s="89"/>
      <c r="I43" s="89"/>
      <c r="J43" s="76"/>
      <c r="K43" s="88"/>
      <c r="L43" s="89"/>
      <c r="M43" s="89"/>
      <c r="N43" s="89"/>
      <c r="O43" s="89"/>
      <c r="P43" s="76"/>
    </row>
    <row r="44" spans="1:16" s="54" customFormat="1" ht="22.5" customHeight="1">
      <c r="A44" s="35" t="s">
        <v>75</v>
      </c>
      <c r="B44" s="35">
        <v>4082</v>
      </c>
      <c r="C44" s="67" t="s">
        <v>19</v>
      </c>
      <c r="D44" s="38" t="s">
        <v>76</v>
      </c>
      <c r="E44" s="76">
        <f>F44</f>
        <v>30000</v>
      </c>
      <c r="F44" s="89">
        <v>30000</v>
      </c>
      <c r="G44" s="89"/>
      <c r="H44" s="89"/>
      <c r="I44" s="89"/>
      <c r="J44" s="76"/>
      <c r="K44" s="88"/>
      <c r="L44" s="89"/>
      <c r="M44" s="89"/>
      <c r="N44" s="89"/>
      <c r="O44" s="89"/>
      <c r="P44" s="76">
        <f>E44+J44</f>
        <v>30000</v>
      </c>
    </row>
    <row r="45" spans="1:16" s="54" customFormat="1" ht="36.75" customHeight="1">
      <c r="A45" s="35" t="s">
        <v>85</v>
      </c>
      <c r="B45" s="35">
        <v>6013</v>
      </c>
      <c r="C45" s="36" t="s">
        <v>21</v>
      </c>
      <c r="D45" s="38" t="s">
        <v>86</v>
      </c>
      <c r="E45" s="76">
        <f>F45</f>
        <v>464000</v>
      </c>
      <c r="F45" s="89">
        <f>134000+315000+15000</f>
        <v>464000</v>
      </c>
      <c r="G45" s="89"/>
      <c r="H45" s="89"/>
      <c r="I45" s="89"/>
      <c r="J45" s="76">
        <f>L45+O45</f>
        <v>0</v>
      </c>
      <c r="K45" s="88"/>
      <c r="L45" s="88"/>
      <c r="M45" s="88"/>
      <c r="N45" s="88"/>
      <c r="O45" s="88"/>
      <c r="P45" s="76">
        <f>E45+J45</f>
        <v>464000</v>
      </c>
    </row>
    <row r="46" spans="1:16" s="54" customFormat="1" ht="32.25" customHeight="1">
      <c r="A46" s="35" t="s">
        <v>50</v>
      </c>
      <c r="B46" s="35" t="s">
        <v>51</v>
      </c>
      <c r="C46" s="36" t="s">
        <v>21</v>
      </c>
      <c r="D46" s="38" t="s">
        <v>52</v>
      </c>
      <c r="E46" s="76">
        <f>F46+I46</f>
        <v>8742664</v>
      </c>
      <c r="F46" s="89">
        <f>6969345+693600+1000000-50000-50000-20000+375837+2040-129800-48358</f>
        <v>8742664</v>
      </c>
      <c r="G46" s="89">
        <v>112500</v>
      </c>
      <c r="H46" s="89">
        <f>1012730+90500</f>
        <v>1103230</v>
      </c>
      <c r="I46" s="89">
        <v>0</v>
      </c>
      <c r="J46" s="76">
        <f>L46+O46</f>
        <v>841298</v>
      </c>
      <c r="K46" s="88">
        <f>210875+630423</f>
        <v>841298</v>
      </c>
      <c r="L46" s="89"/>
      <c r="M46" s="89"/>
      <c r="N46" s="89"/>
      <c r="O46" s="89">
        <f>210875+630423</f>
        <v>841298</v>
      </c>
      <c r="P46" s="76">
        <f t="shared" si="4"/>
        <v>9583962</v>
      </c>
    </row>
    <row r="47" spans="1:16" s="54" customFormat="1" ht="34.5" customHeight="1">
      <c r="A47" s="35" t="s">
        <v>56</v>
      </c>
      <c r="B47" s="35" t="s">
        <v>57</v>
      </c>
      <c r="C47" s="36" t="s">
        <v>58</v>
      </c>
      <c r="D47" s="38" t="s">
        <v>59</v>
      </c>
      <c r="E47" s="76">
        <f>F47+I47</f>
        <v>10000</v>
      </c>
      <c r="F47" s="89">
        <v>10000</v>
      </c>
      <c r="G47" s="98"/>
      <c r="H47" s="98"/>
      <c r="I47" s="98"/>
      <c r="J47" s="76">
        <f>L47+O47</f>
        <v>0</v>
      </c>
      <c r="K47" s="134"/>
      <c r="L47" s="98"/>
      <c r="M47" s="98"/>
      <c r="N47" s="98"/>
      <c r="O47" s="98"/>
      <c r="P47" s="76">
        <f t="shared" si="4"/>
        <v>10000</v>
      </c>
    </row>
    <row r="48" spans="1:16" s="54" customFormat="1" ht="30.75" customHeight="1">
      <c r="A48" s="35" t="s">
        <v>93</v>
      </c>
      <c r="B48" s="35">
        <v>7130</v>
      </c>
      <c r="C48" s="15" t="s">
        <v>94</v>
      </c>
      <c r="D48" s="38" t="s">
        <v>95</v>
      </c>
      <c r="E48" s="76">
        <f>F48+I48</f>
        <v>278000</v>
      </c>
      <c r="F48" s="89">
        <f>150000+120000+8000</f>
        <v>278000</v>
      </c>
      <c r="G48" s="98"/>
      <c r="H48" s="98"/>
      <c r="I48" s="98"/>
      <c r="J48" s="76"/>
      <c r="K48" s="88"/>
      <c r="L48" s="89"/>
      <c r="M48" s="89"/>
      <c r="N48" s="89"/>
      <c r="O48" s="89"/>
      <c r="P48" s="76">
        <f t="shared" si="4"/>
        <v>278000</v>
      </c>
    </row>
    <row r="49" spans="1:16" s="54" customFormat="1" ht="30.75" customHeight="1">
      <c r="A49" s="121" t="s">
        <v>180</v>
      </c>
      <c r="B49" s="121" t="s">
        <v>181</v>
      </c>
      <c r="C49" s="122" t="s">
        <v>143</v>
      </c>
      <c r="D49" s="123" t="s">
        <v>182</v>
      </c>
      <c r="E49" s="76"/>
      <c r="F49" s="89"/>
      <c r="G49" s="98"/>
      <c r="H49" s="98"/>
      <c r="I49" s="98"/>
      <c r="J49" s="76">
        <f>L49+O49</f>
        <v>63172</v>
      </c>
      <c r="K49" s="88">
        <f>10302+52870</f>
        <v>63172</v>
      </c>
      <c r="L49" s="89"/>
      <c r="M49" s="89"/>
      <c r="N49" s="89"/>
      <c r="O49" s="89">
        <f>10302+52870</f>
        <v>63172</v>
      </c>
      <c r="P49" s="76">
        <f t="shared" si="4"/>
        <v>63172</v>
      </c>
    </row>
    <row r="50" spans="1:16" s="54" customFormat="1" ht="30.75" customHeight="1">
      <c r="A50" s="35" t="s">
        <v>142</v>
      </c>
      <c r="B50" s="35">
        <v>7330</v>
      </c>
      <c r="C50" s="63" t="s">
        <v>143</v>
      </c>
      <c r="D50" s="38" t="s">
        <v>144</v>
      </c>
      <c r="E50" s="76"/>
      <c r="F50" s="89"/>
      <c r="G50" s="98"/>
      <c r="H50" s="98"/>
      <c r="I50" s="98"/>
      <c r="J50" s="99">
        <f>L50+O50</f>
        <v>347344</v>
      </c>
      <c r="K50" s="88">
        <f>150000+18544+129800+49000</f>
        <v>347344</v>
      </c>
      <c r="L50" s="89"/>
      <c r="M50" s="89"/>
      <c r="N50" s="89"/>
      <c r="O50" s="89">
        <f>150000+18544+129800+49000</f>
        <v>347344</v>
      </c>
      <c r="P50" s="76">
        <f t="shared" si="4"/>
        <v>347344</v>
      </c>
    </row>
    <row r="51" spans="1:16" s="54" customFormat="1" ht="60" customHeight="1">
      <c r="A51" s="29" t="s">
        <v>136</v>
      </c>
      <c r="B51" s="29">
        <v>7361</v>
      </c>
      <c r="C51" s="63" t="s">
        <v>137</v>
      </c>
      <c r="D51" s="40" t="s">
        <v>138</v>
      </c>
      <c r="E51" s="76"/>
      <c r="F51" s="89"/>
      <c r="G51" s="98"/>
      <c r="H51" s="98"/>
      <c r="I51" s="98"/>
      <c r="J51" s="76">
        <f>L51+O51</f>
        <v>924025</v>
      </c>
      <c r="K51" s="88">
        <f>1624025-700000</f>
        <v>924025</v>
      </c>
      <c r="L51" s="89"/>
      <c r="M51" s="89"/>
      <c r="N51" s="89"/>
      <c r="O51" s="89">
        <f>1624025-700000</f>
        <v>924025</v>
      </c>
      <c r="P51" s="76">
        <f t="shared" si="4"/>
        <v>924025</v>
      </c>
    </row>
    <row r="52" spans="1:16" s="54" customFormat="1" ht="36.75" customHeight="1">
      <c r="A52" s="124" t="s">
        <v>199</v>
      </c>
      <c r="B52" s="135">
        <v>7370</v>
      </c>
      <c r="C52" s="125" t="s">
        <v>137</v>
      </c>
      <c r="D52" s="126" t="s">
        <v>200</v>
      </c>
      <c r="E52" s="76"/>
      <c r="F52" s="89"/>
      <c r="G52" s="98"/>
      <c r="H52" s="98"/>
      <c r="I52" s="98"/>
      <c r="J52" s="76">
        <f>L52+O52</f>
        <v>1500000</v>
      </c>
      <c r="K52" s="88">
        <v>1500000</v>
      </c>
      <c r="L52" s="89"/>
      <c r="M52" s="89"/>
      <c r="N52" s="89"/>
      <c r="O52" s="89">
        <v>1500000</v>
      </c>
      <c r="P52" s="76">
        <f t="shared" si="4"/>
        <v>1500000</v>
      </c>
    </row>
    <row r="53" spans="1:16" s="54" customFormat="1" ht="39.75" customHeight="1">
      <c r="A53" s="110" t="s">
        <v>196</v>
      </c>
      <c r="B53" s="110" t="s">
        <v>197</v>
      </c>
      <c r="C53" s="110" t="s">
        <v>137</v>
      </c>
      <c r="D53" s="31" t="s">
        <v>198</v>
      </c>
      <c r="E53" s="76"/>
      <c r="F53" s="89"/>
      <c r="G53" s="98"/>
      <c r="H53" s="98"/>
      <c r="I53" s="98"/>
      <c r="J53" s="76">
        <f>L53+O53</f>
        <v>7000</v>
      </c>
      <c r="K53" s="88">
        <v>7000</v>
      </c>
      <c r="L53" s="89"/>
      <c r="M53" s="89"/>
      <c r="N53" s="89"/>
      <c r="O53" s="89">
        <v>7000</v>
      </c>
      <c r="P53" s="76">
        <f t="shared" si="4"/>
        <v>7000</v>
      </c>
    </row>
    <row r="54" spans="1:16" s="54" customFormat="1" ht="25.5">
      <c r="A54" s="35" t="s">
        <v>53</v>
      </c>
      <c r="B54" s="58">
        <v>8230</v>
      </c>
      <c r="C54" s="65" t="s">
        <v>54</v>
      </c>
      <c r="D54" s="84" t="s">
        <v>55</v>
      </c>
      <c r="E54" s="76">
        <f>F54+I54</f>
        <v>1091913</v>
      </c>
      <c r="F54" s="89">
        <v>1091913</v>
      </c>
      <c r="G54" s="89">
        <v>823446</v>
      </c>
      <c r="H54" s="89"/>
      <c r="I54" s="89"/>
      <c r="J54" s="76"/>
      <c r="K54" s="88"/>
      <c r="L54" s="89"/>
      <c r="M54" s="89"/>
      <c r="N54" s="89"/>
      <c r="O54" s="89"/>
      <c r="P54" s="76">
        <f t="shared" si="4"/>
        <v>1091913</v>
      </c>
    </row>
    <row r="55" spans="1:16" s="54" customFormat="1" ht="39.75" customHeight="1">
      <c r="A55" s="35" t="s">
        <v>60</v>
      </c>
      <c r="B55" s="58">
        <v>8340</v>
      </c>
      <c r="C55" s="65" t="s">
        <v>24</v>
      </c>
      <c r="D55" s="64" t="s">
        <v>61</v>
      </c>
      <c r="E55" s="76"/>
      <c r="F55" s="89"/>
      <c r="G55" s="89"/>
      <c r="H55" s="89"/>
      <c r="I55" s="89"/>
      <c r="J55" s="99">
        <f>L55+O55</f>
        <v>102000</v>
      </c>
      <c r="K55" s="100"/>
      <c r="L55" s="89">
        <v>102000</v>
      </c>
      <c r="M55" s="89"/>
      <c r="N55" s="89"/>
      <c r="O55" s="89"/>
      <c r="P55" s="76">
        <f t="shared" si="4"/>
        <v>102000</v>
      </c>
    </row>
    <row r="56" spans="1:16" s="54" customFormat="1" ht="24.75" customHeight="1">
      <c r="A56" s="35" t="s">
        <v>206</v>
      </c>
      <c r="B56" s="35">
        <v>9770</v>
      </c>
      <c r="C56" s="36" t="s">
        <v>23</v>
      </c>
      <c r="D56" s="38" t="s">
        <v>207</v>
      </c>
      <c r="E56" s="76">
        <f>F56+I56</f>
        <v>700000</v>
      </c>
      <c r="F56" s="89">
        <f>F58</f>
        <v>0</v>
      </c>
      <c r="G56" s="89">
        <f>G58</f>
        <v>0</v>
      </c>
      <c r="H56" s="89">
        <f>H58</f>
        <v>0</v>
      </c>
      <c r="I56" s="89">
        <f>I58</f>
        <v>700000</v>
      </c>
      <c r="J56" s="99"/>
      <c r="K56" s="100"/>
      <c r="L56" s="89"/>
      <c r="M56" s="89"/>
      <c r="N56" s="89"/>
      <c r="O56" s="89"/>
      <c r="P56" s="76">
        <f t="shared" si="4"/>
        <v>700000</v>
      </c>
    </row>
    <row r="57" spans="1:16" s="54" customFormat="1" ht="18.75" customHeight="1">
      <c r="A57" s="35"/>
      <c r="B57" s="35"/>
      <c r="C57" s="36"/>
      <c r="D57" s="38" t="s">
        <v>41</v>
      </c>
      <c r="E57" s="76"/>
      <c r="F57" s="89"/>
      <c r="G57" s="89"/>
      <c r="H57" s="89"/>
      <c r="I57" s="89"/>
      <c r="J57" s="99"/>
      <c r="K57" s="100"/>
      <c r="L57" s="89"/>
      <c r="M57" s="89"/>
      <c r="N57" s="89"/>
      <c r="O57" s="89"/>
      <c r="P57" s="76"/>
    </row>
    <row r="58" spans="1:16" s="54" customFormat="1" ht="123.75" customHeight="1">
      <c r="A58" s="35"/>
      <c r="B58" s="35"/>
      <c r="C58" s="36"/>
      <c r="D58" s="38" t="s">
        <v>208</v>
      </c>
      <c r="E58" s="76">
        <f>F58+I58</f>
        <v>700000</v>
      </c>
      <c r="F58" s="89"/>
      <c r="G58" s="89"/>
      <c r="H58" s="89"/>
      <c r="I58" s="89">
        <v>700000</v>
      </c>
      <c r="J58" s="99"/>
      <c r="K58" s="100"/>
      <c r="L58" s="89"/>
      <c r="M58" s="89"/>
      <c r="N58" s="89"/>
      <c r="O58" s="89"/>
      <c r="P58" s="76">
        <f t="shared" si="4"/>
        <v>700000</v>
      </c>
    </row>
    <row r="59" spans="1:16" s="54" customFormat="1" ht="12.75">
      <c r="A59" s="41"/>
      <c r="B59" s="42" t="s">
        <v>25</v>
      </c>
      <c r="C59" s="43"/>
      <c r="D59" s="37" t="s">
        <v>35</v>
      </c>
      <c r="E59" s="76">
        <f>F59+I59</f>
        <v>46771661.72</v>
      </c>
      <c r="F59" s="76">
        <f>F17+F27+F44+F45+F46+F47+F54+F55+F48+F22+F24+F21+F19+F18+F20+F23+F56</f>
        <v>46071661.72</v>
      </c>
      <c r="G59" s="76">
        <f>G17+G27+G44+G45+G46+G47+G54+G55+G48+G22+G24+G21+G19+G18+G20+G23+G56</f>
        <v>21863061</v>
      </c>
      <c r="H59" s="76">
        <f>H17+H27+H44+H45+H46+H47+H54+H55+H48+H22+H24+H21+H19+H18+H20+H23+H56</f>
        <v>2134635</v>
      </c>
      <c r="I59" s="76">
        <f>I17+I27+I44+I45+I46+I47+I54+I55+I48+I22+I24+I21+I19+I18+I20+I23+I56</f>
        <v>700000</v>
      </c>
      <c r="J59" s="76">
        <f>L59+O59</f>
        <v>4458678</v>
      </c>
      <c r="K59" s="76">
        <f>K17+K27+K44+K45+K46+K47+K54+K55+K48+K22+K24+K21+K19+K18+K51+K50+K49+K53+K20+K52+K23</f>
        <v>3964539</v>
      </c>
      <c r="L59" s="76">
        <f>L17+L27+L44+L45+L46+L47+L54+L55+L48+L22+L24+L21+L19+L18+L51+L50+L49+L53+L20+L52+L23</f>
        <v>494139</v>
      </c>
      <c r="M59" s="76">
        <f>M17+M27+M44+M45+M46+M47+M54+M55+M48+M22+M24+M21+M19+M18+M51+M50+M49+M53+M20+M52+M23</f>
        <v>55000</v>
      </c>
      <c r="N59" s="76">
        <f>N17+N27+N44+N45+N46+N47+N54+N55+N48+N22+N24+N21+N19+N18+N51+N50+N49+N53+N20+N52+N23</f>
        <v>0</v>
      </c>
      <c r="O59" s="76">
        <f>O17+O27+O44+O45+O46+O47+O54+O55+O48+O22+O24+O21+O19+O18+O51+O50+O49+O53+O20+O52+O23</f>
        <v>3964539</v>
      </c>
      <c r="P59" s="76">
        <f>E59+J59</f>
        <v>51230339.72</v>
      </c>
    </row>
    <row r="60" spans="1:16" ht="39.75" customHeight="1">
      <c r="A60" s="14" t="s">
        <v>62</v>
      </c>
      <c r="B60" s="14"/>
      <c r="C60" s="15"/>
      <c r="D60" s="16" t="s">
        <v>33</v>
      </c>
      <c r="E60" s="52"/>
      <c r="F60" s="52"/>
      <c r="G60" s="52"/>
      <c r="H60" s="52"/>
      <c r="I60" s="52"/>
      <c r="J60" s="52"/>
      <c r="K60" s="71"/>
      <c r="L60" s="52"/>
      <c r="M60" s="52"/>
      <c r="N60" s="52"/>
      <c r="O60" s="52"/>
      <c r="P60" s="53"/>
    </row>
    <row r="61" spans="1:16" ht="38.25">
      <c r="A61" s="14" t="s">
        <v>63</v>
      </c>
      <c r="B61" s="14"/>
      <c r="C61" s="15"/>
      <c r="D61" s="16" t="s">
        <v>33</v>
      </c>
      <c r="E61" s="52"/>
      <c r="F61" s="52"/>
      <c r="G61" s="52"/>
      <c r="H61" s="52"/>
      <c r="I61" s="52"/>
      <c r="J61" s="52"/>
      <c r="K61" s="71"/>
      <c r="L61" s="52"/>
      <c r="M61" s="52"/>
      <c r="N61" s="52"/>
      <c r="O61" s="52"/>
      <c r="P61" s="53"/>
    </row>
    <row r="62" spans="1:16" s="54" customFormat="1" ht="53.25" customHeight="1">
      <c r="A62" s="14" t="s">
        <v>64</v>
      </c>
      <c r="B62" s="24" t="s">
        <v>44</v>
      </c>
      <c r="C62" s="15" t="s">
        <v>12</v>
      </c>
      <c r="D62" s="50" t="s">
        <v>146</v>
      </c>
      <c r="E62" s="96">
        <f>F62+I62</f>
        <v>835761</v>
      </c>
      <c r="F62" s="96">
        <f>795275+26700+13786</f>
        <v>835761</v>
      </c>
      <c r="G62" s="96">
        <f>641425+21900+11300</f>
        <v>674625</v>
      </c>
      <c r="H62" s="96">
        <v>0</v>
      </c>
      <c r="I62" s="96"/>
      <c r="J62" s="96">
        <f>L62+O62</f>
        <v>0</v>
      </c>
      <c r="K62" s="101"/>
      <c r="L62" s="96"/>
      <c r="M62" s="96"/>
      <c r="N62" s="96"/>
      <c r="O62" s="96"/>
      <c r="P62" s="96">
        <f aca="true" t="shared" si="5" ref="P62:P83">J62+E62</f>
        <v>835761</v>
      </c>
    </row>
    <row r="63" spans="1:16" s="54" customFormat="1" ht="19.5" customHeight="1">
      <c r="A63" s="14" t="s">
        <v>65</v>
      </c>
      <c r="B63" s="24"/>
      <c r="C63" s="17"/>
      <c r="D63" s="18" t="s">
        <v>29</v>
      </c>
      <c r="E63" s="96">
        <f>F63+I63</f>
        <v>124408752</v>
      </c>
      <c r="F63" s="96">
        <f>F64+F74+F75+F76+F78+F66+F70+F79+F80+F82+F71</f>
        <v>124408752</v>
      </c>
      <c r="G63" s="96">
        <f>G64+G74+G75+G76+G78+G66+G70+G79+G80+G82</f>
        <v>92267965</v>
      </c>
      <c r="H63" s="96">
        <f>H64+H74+H75+H76+H78+H66+H70+H79+H80+H82</f>
        <v>6087589</v>
      </c>
      <c r="I63" s="96">
        <f>I64+I74+I75+I76+I78+I66+I70+I79+I80+I82</f>
        <v>0</v>
      </c>
      <c r="J63" s="96">
        <f>L63+O63</f>
        <v>3815939</v>
      </c>
      <c r="K63" s="96">
        <f>K64+K74+K75+K76+K78+K66+K70+K79+K80+K82+K71+K81</f>
        <v>808356</v>
      </c>
      <c r="L63" s="96">
        <f>L64+L74+L75+L76+L78+L66+L70+L79+L80+L82</f>
        <v>3007583</v>
      </c>
      <c r="M63" s="96">
        <f>M64+M74+M75+M76+M78+M66+M70+M79+M80+M82</f>
        <v>0</v>
      </c>
      <c r="N63" s="96">
        <f>N64+N74+N75+N76+N78+N66+N70+N79+N80+N82</f>
        <v>0</v>
      </c>
      <c r="O63" s="96">
        <f>O64+O74+O75+O76+O78+O66+O70+O79+O80+O82+O71+O81</f>
        <v>808356</v>
      </c>
      <c r="P63" s="96">
        <f t="shared" si="5"/>
        <v>128224691</v>
      </c>
    </row>
    <row r="64" spans="1:16" s="54" customFormat="1" ht="24.75" customHeight="1">
      <c r="A64" s="14" t="s">
        <v>66</v>
      </c>
      <c r="B64" s="24" t="s">
        <v>14</v>
      </c>
      <c r="C64" s="17" t="s">
        <v>13</v>
      </c>
      <c r="D64" s="19" t="s">
        <v>67</v>
      </c>
      <c r="E64" s="96">
        <f>F64+I64</f>
        <v>25212459</v>
      </c>
      <c r="F64" s="96">
        <f>24967289-8000+253170</f>
        <v>25212459</v>
      </c>
      <c r="G64" s="96">
        <f>18107750</f>
        <v>18107750</v>
      </c>
      <c r="H64" s="96">
        <f>1306014+203720</f>
        <v>1509734</v>
      </c>
      <c r="I64" s="96"/>
      <c r="J64" s="96">
        <f>L64+O64</f>
        <v>1513000</v>
      </c>
      <c r="K64" s="101">
        <f>8000</f>
        <v>8000</v>
      </c>
      <c r="L64" s="96">
        <v>1505000</v>
      </c>
      <c r="M64" s="102"/>
      <c r="N64" s="102"/>
      <c r="O64" s="96">
        <f>8000</f>
        <v>8000</v>
      </c>
      <c r="P64" s="96">
        <f>J64+E64</f>
        <v>26725459</v>
      </c>
    </row>
    <row r="65" spans="1:16" s="54" customFormat="1" ht="36.75" customHeight="1">
      <c r="A65" s="14" t="s">
        <v>166</v>
      </c>
      <c r="B65" s="24" t="s">
        <v>167</v>
      </c>
      <c r="C65" s="17"/>
      <c r="D65" s="19" t="s">
        <v>168</v>
      </c>
      <c r="E65" s="96">
        <f>F65+I65</f>
        <v>24036550</v>
      </c>
      <c r="F65" s="96">
        <f>F66</f>
        <v>24036550</v>
      </c>
      <c r="G65" s="96">
        <f>G66</f>
        <v>14564208</v>
      </c>
      <c r="H65" s="96">
        <f>H66</f>
        <v>4219522</v>
      </c>
      <c r="I65" s="96">
        <f>I66</f>
        <v>0</v>
      </c>
      <c r="J65" s="96">
        <f>L65+O65</f>
        <v>1502582</v>
      </c>
      <c r="K65" s="96">
        <f>K66</f>
        <v>0</v>
      </c>
      <c r="L65" s="96">
        <f>L66</f>
        <v>1502582</v>
      </c>
      <c r="M65" s="96">
        <f>M66</f>
        <v>0</v>
      </c>
      <c r="N65" s="96">
        <f>N66</f>
        <v>0</v>
      </c>
      <c r="O65" s="96">
        <f>O66</f>
        <v>0</v>
      </c>
      <c r="P65" s="96">
        <f>J65+E65</f>
        <v>25539132</v>
      </c>
    </row>
    <row r="66" spans="1:16" s="54" customFormat="1" ht="42.75" customHeight="1">
      <c r="A66" s="14" t="s">
        <v>147</v>
      </c>
      <c r="B66" s="24" t="s">
        <v>148</v>
      </c>
      <c r="C66" s="17" t="s">
        <v>40</v>
      </c>
      <c r="D66" s="19" t="s">
        <v>149</v>
      </c>
      <c r="E66" s="96">
        <f>F66+I66</f>
        <v>24036550</v>
      </c>
      <c r="F66" s="96">
        <f>23218819+817731</f>
        <v>24036550</v>
      </c>
      <c r="G66" s="96">
        <v>14564208</v>
      </c>
      <c r="H66" s="96">
        <f>3471722+747800</f>
        <v>4219522</v>
      </c>
      <c r="I66" s="96"/>
      <c r="J66" s="96">
        <f>L66+O66</f>
        <v>1502582</v>
      </c>
      <c r="K66" s="101"/>
      <c r="L66" s="96">
        <v>1502582</v>
      </c>
      <c r="M66" s="96"/>
      <c r="N66" s="96"/>
      <c r="O66" s="96"/>
      <c r="P66" s="96">
        <f t="shared" si="5"/>
        <v>25539132</v>
      </c>
    </row>
    <row r="67" spans="1:16" s="54" customFormat="1" ht="21" customHeight="1">
      <c r="A67" s="14"/>
      <c r="B67" s="24"/>
      <c r="C67" s="17"/>
      <c r="D67" s="19" t="s">
        <v>41</v>
      </c>
      <c r="E67" s="96"/>
      <c r="F67" s="96"/>
      <c r="G67" s="96"/>
      <c r="H67" s="96"/>
      <c r="I67" s="96"/>
      <c r="J67" s="96"/>
      <c r="K67" s="101"/>
      <c r="L67" s="96"/>
      <c r="M67" s="96"/>
      <c r="N67" s="96"/>
      <c r="O67" s="96"/>
      <c r="P67" s="96"/>
    </row>
    <row r="68" spans="1:16" s="54" customFormat="1" ht="87.75" customHeight="1">
      <c r="A68" s="14"/>
      <c r="B68" s="24"/>
      <c r="C68" s="17"/>
      <c r="D68" s="19" t="s">
        <v>139</v>
      </c>
      <c r="E68" s="96">
        <f>F68+I68</f>
        <v>2534900</v>
      </c>
      <c r="F68" s="96">
        <v>2534900</v>
      </c>
      <c r="G68" s="96">
        <v>2077800</v>
      </c>
      <c r="H68" s="96"/>
      <c r="I68" s="96"/>
      <c r="J68" s="96"/>
      <c r="K68" s="101"/>
      <c r="L68" s="96"/>
      <c r="M68" s="96"/>
      <c r="N68" s="96"/>
      <c r="O68" s="96"/>
      <c r="P68" s="96">
        <f t="shared" si="5"/>
        <v>2534900</v>
      </c>
    </row>
    <row r="69" spans="1:16" s="54" customFormat="1" ht="37.5" customHeight="1">
      <c r="A69" s="14" t="s">
        <v>169</v>
      </c>
      <c r="B69" s="24" t="s">
        <v>16</v>
      </c>
      <c r="C69" s="17"/>
      <c r="D69" s="19" t="s">
        <v>170</v>
      </c>
      <c r="E69" s="96">
        <f>F69+I69</f>
        <v>63898000</v>
      </c>
      <c r="F69" s="96">
        <f>F70</f>
        <v>63898000</v>
      </c>
      <c r="G69" s="96">
        <f>G70</f>
        <v>52375400</v>
      </c>
      <c r="H69" s="96">
        <f>H70</f>
        <v>0</v>
      </c>
      <c r="I69" s="96">
        <f>I70</f>
        <v>0</v>
      </c>
      <c r="J69" s="96"/>
      <c r="K69" s="101"/>
      <c r="L69" s="96"/>
      <c r="M69" s="96"/>
      <c r="N69" s="96"/>
      <c r="O69" s="96"/>
      <c r="P69" s="96">
        <f>J69+E69</f>
        <v>63898000</v>
      </c>
    </row>
    <row r="70" spans="1:16" s="54" customFormat="1" ht="36.75" customHeight="1">
      <c r="A70" s="14" t="s">
        <v>150</v>
      </c>
      <c r="B70" s="24" t="s">
        <v>151</v>
      </c>
      <c r="C70" s="17" t="s">
        <v>40</v>
      </c>
      <c r="D70" s="19" t="s">
        <v>149</v>
      </c>
      <c r="E70" s="96">
        <f>F70+I70</f>
        <v>63898000</v>
      </c>
      <c r="F70" s="96">
        <v>63898000</v>
      </c>
      <c r="G70" s="96">
        <v>52375400</v>
      </c>
      <c r="H70" s="96"/>
      <c r="I70" s="96"/>
      <c r="J70" s="96"/>
      <c r="K70" s="101"/>
      <c r="L70" s="96"/>
      <c r="M70" s="96"/>
      <c r="N70" s="96"/>
      <c r="O70" s="96"/>
      <c r="P70" s="96">
        <f t="shared" si="5"/>
        <v>63898000</v>
      </c>
    </row>
    <row r="71" spans="1:16" s="54" customFormat="1" ht="132" customHeight="1">
      <c r="A71" s="124" t="s">
        <v>183</v>
      </c>
      <c r="B71" s="124">
        <v>1060</v>
      </c>
      <c r="C71" s="125"/>
      <c r="D71" s="123" t="s">
        <v>184</v>
      </c>
      <c r="E71" s="96">
        <f>F71+I71</f>
        <v>282765</v>
      </c>
      <c r="F71" s="96">
        <f>F72</f>
        <v>282765</v>
      </c>
      <c r="G71" s="96">
        <f>G72</f>
        <v>0</v>
      </c>
      <c r="H71" s="96">
        <f>H72</f>
        <v>0</v>
      </c>
      <c r="I71" s="96">
        <f>I72</f>
        <v>0</v>
      </c>
      <c r="J71" s="96">
        <f>L71+O71</f>
        <v>436908</v>
      </c>
      <c r="K71" s="96">
        <f>K72</f>
        <v>436908</v>
      </c>
      <c r="L71" s="96">
        <f>L72</f>
        <v>0</v>
      </c>
      <c r="M71" s="96">
        <f>M72</f>
        <v>0</v>
      </c>
      <c r="N71" s="96">
        <f>N72</f>
        <v>0</v>
      </c>
      <c r="O71" s="96">
        <f>O72</f>
        <v>436908</v>
      </c>
      <c r="P71" s="96">
        <f t="shared" si="5"/>
        <v>719673</v>
      </c>
    </row>
    <row r="72" spans="1:16" s="54" customFormat="1" ht="36.75" customHeight="1">
      <c r="A72" s="124" t="s">
        <v>185</v>
      </c>
      <c r="B72" s="124" t="s">
        <v>186</v>
      </c>
      <c r="C72" s="125" t="s">
        <v>40</v>
      </c>
      <c r="D72" s="126" t="s">
        <v>187</v>
      </c>
      <c r="E72" s="96">
        <f>F72+I72</f>
        <v>282765</v>
      </c>
      <c r="F72" s="96">
        <v>282765</v>
      </c>
      <c r="G72" s="96"/>
      <c r="H72" s="96"/>
      <c r="I72" s="96"/>
      <c r="J72" s="96">
        <f>L72+O72</f>
        <v>436908</v>
      </c>
      <c r="K72" s="101">
        <f>630557-193649</f>
        <v>436908</v>
      </c>
      <c r="L72" s="96"/>
      <c r="M72" s="96"/>
      <c r="N72" s="96"/>
      <c r="O72" s="96">
        <f>630557-193649</f>
        <v>436908</v>
      </c>
      <c r="P72" s="96">
        <f t="shared" si="5"/>
        <v>719673</v>
      </c>
    </row>
    <row r="73" spans="1:16" s="54" customFormat="1" ht="18" customHeight="1">
      <c r="A73" s="14"/>
      <c r="B73" s="24"/>
      <c r="C73" s="17"/>
      <c r="D73" s="19"/>
      <c r="E73" s="96"/>
      <c r="F73" s="96"/>
      <c r="G73" s="96"/>
      <c r="H73" s="96"/>
      <c r="I73" s="96"/>
      <c r="J73" s="96"/>
      <c r="K73" s="101"/>
      <c r="L73" s="96"/>
      <c r="M73" s="96"/>
      <c r="N73" s="96"/>
      <c r="O73" s="96"/>
      <c r="P73" s="96"/>
    </row>
    <row r="74" spans="1:16" s="54" customFormat="1" ht="50.25" customHeight="1">
      <c r="A74" s="14" t="s">
        <v>152</v>
      </c>
      <c r="B74" s="24" t="s">
        <v>105</v>
      </c>
      <c r="C74" s="17" t="s">
        <v>42</v>
      </c>
      <c r="D74" s="19" t="s">
        <v>91</v>
      </c>
      <c r="E74" s="81">
        <f>F74+I74</f>
        <v>3919057</v>
      </c>
      <c r="F74" s="81">
        <f>4243460-315820-20000+11417</f>
        <v>3919057</v>
      </c>
      <c r="G74" s="81">
        <f>3228860-349020</f>
        <v>2879840</v>
      </c>
      <c r="H74" s="81">
        <f>212500+11417</f>
        <v>223917</v>
      </c>
      <c r="I74" s="81"/>
      <c r="J74" s="96">
        <f>L74+O74</f>
        <v>1</v>
      </c>
      <c r="K74" s="101"/>
      <c r="L74" s="96">
        <v>1</v>
      </c>
      <c r="M74" s="96"/>
      <c r="N74" s="96"/>
      <c r="O74" s="96"/>
      <c r="P74" s="96">
        <f t="shared" si="5"/>
        <v>3919058</v>
      </c>
    </row>
    <row r="75" spans="1:16" s="54" customFormat="1" ht="6.75" customHeight="1">
      <c r="A75" s="14"/>
      <c r="B75" s="24"/>
      <c r="C75" s="17"/>
      <c r="D75" s="19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s="54" customFormat="1" ht="34.5" customHeight="1">
      <c r="A76" s="14" t="s">
        <v>153</v>
      </c>
      <c r="B76" s="24" t="s">
        <v>154</v>
      </c>
      <c r="C76" s="17" t="s">
        <v>15</v>
      </c>
      <c r="D76" s="19" t="s">
        <v>77</v>
      </c>
      <c r="E76" s="96">
        <f>F76+I76</f>
        <v>3478166</v>
      </c>
      <c r="F76" s="96">
        <f>3387498+62400+3268+25000</f>
        <v>3478166</v>
      </c>
      <c r="G76" s="96">
        <f>2664700+51100</f>
        <v>2715800</v>
      </c>
      <c r="H76" s="96">
        <f>44298+3268</f>
        <v>47566</v>
      </c>
      <c r="I76" s="96"/>
      <c r="J76" s="96">
        <f>L76+O76</f>
        <v>0</v>
      </c>
      <c r="K76" s="101"/>
      <c r="L76" s="96"/>
      <c r="M76" s="96"/>
      <c r="N76" s="96"/>
      <c r="O76" s="96"/>
      <c r="P76" s="96">
        <f t="shared" si="5"/>
        <v>3478166</v>
      </c>
    </row>
    <row r="77" spans="1:16" s="54" customFormat="1" ht="12.75">
      <c r="A77" s="14"/>
      <c r="B77" s="24"/>
      <c r="C77" s="17"/>
      <c r="D77" s="19"/>
      <c r="E77" s="96"/>
      <c r="F77" s="96"/>
      <c r="G77" s="96"/>
      <c r="H77" s="96"/>
      <c r="I77" s="96"/>
      <c r="J77" s="96"/>
      <c r="K77" s="101"/>
      <c r="L77" s="96"/>
      <c r="M77" s="96"/>
      <c r="N77" s="96"/>
      <c r="O77" s="96"/>
      <c r="P77" s="96"/>
    </row>
    <row r="78" spans="1:16" s="54" customFormat="1" ht="12.75">
      <c r="A78" s="14" t="s">
        <v>155</v>
      </c>
      <c r="B78" s="24" t="s">
        <v>156</v>
      </c>
      <c r="C78" s="17" t="s">
        <v>15</v>
      </c>
      <c r="D78" s="19" t="s">
        <v>78</v>
      </c>
      <c r="E78" s="96">
        <f>F78+I78</f>
        <v>1266680</v>
      </c>
      <c r="F78" s="96">
        <f>1254600+12080</f>
        <v>1266680</v>
      </c>
      <c r="G78" s="96"/>
      <c r="H78" s="96"/>
      <c r="I78" s="96"/>
      <c r="J78" s="96"/>
      <c r="K78" s="101"/>
      <c r="L78" s="96"/>
      <c r="M78" s="96"/>
      <c r="N78" s="96"/>
      <c r="O78" s="96"/>
      <c r="P78" s="96">
        <f t="shared" si="5"/>
        <v>1266680</v>
      </c>
    </row>
    <row r="79" spans="1:16" s="54" customFormat="1" ht="50.25" customHeight="1">
      <c r="A79" s="14" t="s">
        <v>157</v>
      </c>
      <c r="B79" s="24" t="s">
        <v>158</v>
      </c>
      <c r="C79" s="17" t="s">
        <v>15</v>
      </c>
      <c r="D79" s="19" t="s">
        <v>159</v>
      </c>
      <c r="E79" s="96">
        <f>F79+I79</f>
        <v>481415</v>
      </c>
      <c r="F79" s="96">
        <v>481415</v>
      </c>
      <c r="G79" s="96">
        <v>185265</v>
      </c>
      <c r="H79" s="96">
        <v>86850</v>
      </c>
      <c r="I79" s="96"/>
      <c r="J79" s="96"/>
      <c r="K79" s="101"/>
      <c r="L79" s="96"/>
      <c r="M79" s="96"/>
      <c r="N79" s="96"/>
      <c r="O79" s="96"/>
      <c r="P79" s="96">
        <f t="shared" si="5"/>
        <v>481415</v>
      </c>
    </row>
    <row r="80" spans="1:18" s="54" customFormat="1" ht="52.5" customHeight="1">
      <c r="A80" s="14" t="s">
        <v>160</v>
      </c>
      <c r="B80" s="24" t="s">
        <v>161</v>
      </c>
      <c r="C80" s="17" t="s">
        <v>15</v>
      </c>
      <c r="D80" s="19" t="s">
        <v>162</v>
      </c>
      <c r="E80" s="96">
        <f>F80+I80</f>
        <v>1499035</v>
      </c>
      <c r="F80" s="96">
        <v>1499035</v>
      </c>
      <c r="G80" s="96">
        <v>1228717</v>
      </c>
      <c r="H80" s="96"/>
      <c r="I80" s="96"/>
      <c r="J80" s="96"/>
      <c r="K80" s="101"/>
      <c r="L80" s="96"/>
      <c r="M80" s="96"/>
      <c r="N80" s="96"/>
      <c r="O80" s="96"/>
      <c r="P80" s="96">
        <f t="shared" si="5"/>
        <v>1499035</v>
      </c>
      <c r="Q80" s="117">
        <f>P79+P80</f>
        <v>1980450</v>
      </c>
      <c r="R80" s="117">
        <f>G79+G80</f>
        <v>1413982</v>
      </c>
    </row>
    <row r="81" spans="1:18" s="54" customFormat="1" ht="102.75" customHeight="1">
      <c r="A81" s="14" t="s">
        <v>203</v>
      </c>
      <c r="B81" s="24" t="s">
        <v>204</v>
      </c>
      <c r="C81" s="17" t="s">
        <v>15</v>
      </c>
      <c r="D81" s="19" t="s">
        <v>205</v>
      </c>
      <c r="E81" s="96"/>
      <c r="F81" s="96"/>
      <c r="G81" s="96"/>
      <c r="H81" s="96"/>
      <c r="I81" s="96"/>
      <c r="J81" s="96">
        <f>L81+O81</f>
        <v>193649</v>
      </c>
      <c r="K81" s="101">
        <v>193649</v>
      </c>
      <c r="L81" s="96"/>
      <c r="M81" s="96"/>
      <c r="N81" s="96"/>
      <c r="O81" s="96">
        <v>193649</v>
      </c>
      <c r="P81" s="96">
        <f t="shared" si="5"/>
        <v>193649</v>
      </c>
      <c r="Q81" s="117"/>
      <c r="R81" s="117"/>
    </row>
    <row r="82" spans="1:18" s="54" customFormat="1" ht="64.5" customHeight="1">
      <c r="A82" s="14" t="s">
        <v>163</v>
      </c>
      <c r="B82" s="24" t="s">
        <v>164</v>
      </c>
      <c r="C82" s="17" t="s">
        <v>15</v>
      </c>
      <c r="D82" s="19" t="s">
        <v>165</v>
      </c>
      <c r="E82" s="96">
        <f>F82+I82</f>
        <v>334625</v>
      </c>
      <c r="F82" s="96">
        <v>334625</v>
      </c>
      <c r="G82" s="96">
        <v>210985</v>
      </c>
      <c r="H82" s="96"/>
      <c r="I82" s="96"/>
      <c r="J82" s="96">
        <f>L82+O82</f>
        <v>169799</v>
      </c>
      <c r="K82" s="101">
        <v>169799</v>
      </c>
      <c r="L82" s="96"/>
      <c r="M82" s="96"/>
      <c r="N82" s="96"/>
      <c r="O82" s="96">
        <v>169799</v>
      </c>
      <c r="P82" s="96">
        <f t="shared" si="5"/>
        <v>504424</v>
      </c>
      <c r="Q82" s="117"/>
      <c r="R82" s="117"/>
    </row>
    <row r="83" spans="1:16" s="54" customFormat="1" ht="54" customHeight="1">
      <c r="A83" s="44" t="s">
        <v>68</v>
      </c>
      <c r="B83" s="27">
        <v>5031</v>
      </c>
      <c r="C83" s="28" t="s">
        <v>20</v>
      </c>
      <c r="D83" s="31" t="s">
        <v>43</v>
      </c>
      <c r="E83" s="81">
        <f>F83+I83</f>
        <v>3047553</v>
      </c>
      <c r="F83" s="81">
        <f>3202237-162180-10000+17496</f>
        <v>3047553</v>
      </c>
      <c r="G83" s="81">
        <f>2484200-177980</f>
        <v>2306220</v>
      </c>
      <c r="H83" s="81">
        <f>134791+17496</f>
        <v>152287</v>
      </c>
      <c r="I83" s="96"/>
      <c r="J83" s="96">
        <f>L83+O83</f>
        <v>892</v>
      </c>
      <c r="K83" s="101"/>
      <c r="L83" s="96">
        <v>892</v>
      </c>
      <c r="M83" s="96"/>
      <c r="N83" s="96"/>
      <c r="O83" s="96"/>
      <c r="P83" s="96">
        <f t="shared" si="5"/>
        <v>3048445</v>
      </c>
    </row>
    <row r="84" spans="1:16" s="54" customFormat="1" ht="9" customHeight="1">
      <c r="A84" s="44"/>
      <c r="B84" s="27"/>
      <c r="C84" s="51"/>
      <c r="D84" s="31"/>
      <c r="E84" s="96"/>
      <c r="F84" s="96"/>
      <c r="G84" s="96"/>
      <c r="H84" s="96"/>
      <c r="I84" s="96"/>
      <c r="J84" s="96"/>
      <c r="K84" s="101"/>
      <c r="L84" s="96"/>
      <c r="M84" s="96"/>
      <c r="N84" s="96"/>
      <c r="O84" s="96"/>
      <c r="P84" s="96"/>
    </row>
    <row r="85" spans="1:21" s="54" customFormat="1" ht="72" customHeight="1">
      <c r="A85" s="44" t="s">
        <v>69</v>
      </c>
      <c r="B85" s="27">
        <v>5061</v>
      </c>
      <c r="C85" s="28" t="s">
        <v>20</v>
      </c>
      <c r="D85" s="31" t="s">
        <v>26</v>
      </c>
      <c r="E85" s="96">
        <f>F85+I85</f>
        <v>100000</v>
      </c>
      <c r="F85" s="96">
        <v>100000</v>
      </c>
      <c r="G85" s="96"/>
      <c r="H85" s="96"/>
      <c r="I85" s="96"/>
      <c r="J85" s="96">
        <f>L85+O85</f>
        <v>0</v>
      </c>
      <c r="K85" s="101"/>
      <c r="L85" s="96"/>
      <c r="M85" s="96"/>
      <c r="N85" s="96"/>
      <c r="O85" s="96"/>
      <c r="P85" s="96">
        <f>J85+E85</f>
        <v>100000</v>
      </c>
      <c r="R85" s="121" t="s">
        <v>188</v>
      </c>
      <c r="S85" s="121" t="s">
        <v>189</v>
      </c>
      <c r="T85" s="122" t="s">
        <v>143</v>
      </c>
      <c r="U85" s="123" t="s">
        <v>190</v>
      </c>
    </row>
    <row r="86" spans="1:16" s="54" customFormat="1" ht="12.75">
      <c r="A86" s="20"/>
      <c r="B86" s="20"/>
      <c r="C86" s="21"/>
      <c r="D86" s="66" t="s">
        <v>35</v>
      </c>
      <c r="E86" s="80">
        <f>F86+I86</f>
        <v>128392066</v>
      </c>
      <c r="F86" s="80">
        <f>F63+F62+F83+F85</f>
        <v>128392066</v>
      </c>
      <c r="G86" s="80">
        <f>G63+G62+G83+G85</f>
        <v>95248810</v>
      </c>
      <c r="H86" s="80">
        <f>H63+H62+H83+H85</f>
        <v>6239876</v>
      </c>
      <c r="I86" s="80">
        <f>I63+I62+I83+I85</f>
        <v>0</v>
      </c>
      <c r="J86" s="80">
        <f>L86+O86</f>
        <v>3816831</v>
      </c>
      <c r="K86" s="80">
        <f>K63+K62+K83+K85</f>
        <v>808356</v>
      </c>
      <c r="L86" s="80">
        <f>L63+L62+L83+L85</f>
        <v>3008475</v>
      </c>
      <c r="M86" s="80">
        <f>M63+M62+M83+M85</f>
        <v>0</v>
      </c>
      <c r="N86" s="80">
        <f>N63+N62+N83+N85</f>
        <v>0</v>
      </c>
      <c r="O86" s="80">
        <f>O63+O62+O83+O85</f>
        <v>808356</v>
      </c>
      <c r="P86" s="80">
        <f>J86+E86</f>
        <v>132208897</v>
      </c>
    </row>
    <row r="87" spans="1:16" ht="55.5" customHeight="1">
      <c r="A87" s="33" t="s">
        <v>32</v>
      </c>
      <c r="B87" s="24"/>
      <c r="C87" s="22"/>
      <c r="D87" s="16" t="s">
        <v>37</v>
      </c>
      <c r="E87" s="104"/>
      <c r="F87" s="104"/>
      <c r="G87" s="104"/>
      <c r="H87" s="104"/>
      <c r="I87" s="104"/>
      <c r="J87" s="104"/>
      <c r="K87" s="105"/>
      <c r="L87" s="104"/>
      <c r="M87" s="104"/>
      <c r="N87" s="104"/>
      <c r="O87" s="104"/>
      <c r="P87" s="104"/>
    </row>
    <row r="88" spans="1:16" ht="50.25" customHeight="1">
      <c r="A88" s="33" t="s">
        <v>34</v>
      </c>
      <c r="B88" s="24"/>
      <c r="C88" s="15"/>
      <c r="D88" s="16" t="s">
        <v>37</v>
      </c>
      <c r="E88" s="104"/>
      <c r="F88" s="106"/>
      <c r="G88" s="102"/>
      <c r="H88" s="102"/>
      <c r="I88" s="102"/>
      <c r="J88" s="102"/>
      <c r="K88" s="103"/>
      <c r="L88" s="102"/>
      <c r="M88" s="102"/>
      <c r="N88" s="102"/>
      <c r="O88" s="102"/>
      <c r="P88" s="102"/>
    </row>
    <row r="89" spans="1:16" s="54" customFormat="1" ht="55.5" customHeight="1">
      <c r="A89" s="61" t="s">
        <v>70</v>
      </c>
      <c r="B89" s="62" t="s">
        <v>44</v>
      </c>
      <c r="C89" s="63" t="s">
        <v>12</v>
      </c>
      <c r="D89" s="50" t="s">
        <v>145</v>
      </c>
      <c r="E89" s="96">
        <f aca="true" t="shared" si="6" ref="E89:E96">F89+I89</f>
        <v>1421852</v>
      </c>
      <c r="F89" s="96">
        <f>1354752+44700+22400</f>
        <v>1421852</v>
      </c>
      <c r="G89" s="96">
        <f>1057334+36600+18350</f>
        <v>1112284</v>
      </c>
      <c r="H89" s="96">
        <v>26268</v>
      </c>
      <c r="I89" s="96"/>
      <c r="J89" s="96">
        <f>L89+O89</f>
        <v>0</v>
      </c>
      <c r="K89" s="101"/>
      <c r="L89" s="96"/>
      <c r="M89" s="96"/>
      <c r="N89" s="96"/>
      <c r="O89" s="96"/>
      <c r="P89" s="96">
        <f aca="true" t="shared" si="7" ref="P89:P97">J89+E89</f>
        <v>1421852</v>
      </c>
    </row>
    <row r="90" spans="1:16" s="54" customFormat="1" ht="12.75">
      <c r="A90" s="61" t="s">
        <v>123</v>
      </c>
      <c r="B90" s="62" t="s">
        <v>124</v>
      </c>
      <c r="C90" s="63" t="s">
        <v>45</v>
      </c>
      <c r="D90" s="26" t="s">
        <v>125</v>
      </c>
      <c r="E90" s="96">
        <f t="shared" si="6"/>
        <v>2239293</v>
      </c>
      <c r="F90" s="96">
        <v>2239293</v>
      </c>
      <c r="G90" s="96">
        <v>1673593</v>
      </c>
      <c r="H90" s="96">
        <v>125865</v>
      </c>
      <c r="I90" s="96"/>
      <c r="J90" s="96"/>
      <c r="K90" s="96"/>
      <c r="L90" s="96"/>
      <c r="M90" s="96"/>
      <c r="N90" s="96"/>
      <c r="O90" s="96"/>
      <c r="P90" s="96">
        <f t="shared" si="7"/>
        <v>2239293</v>
      </c>
    </row>
    <row r="91" spans="1:16" s="54" customFormat="1" ht="21" customHeight="1">
      <c r="A91" s="44">
        <v>1014040</v>
      </c>
      <c r="B91" s="27">
        <v>4040</v>
      </c>
      <c r="C91" s="17" t="s">
        <v>45</v>
      </c>
      <c r="D91" s="31" t="s">
        <v>71</v>
      </c>
      <c r="E91" s="96">
        <f t="shared" si="6"/>
        <v>905219</v>
      </c>
      <c r="F91" s="96">
        <v>905219</v>
      </c>
      <c r="G91" s="96">
        <v>641883</v>
      </c>
      <c r="H91" s="96">
        <v>66932</v>
      </c>
      <c r="I91" s="96"/>
      <c r="J91" s="96">
        <f>O91+L91</f>
        <v>0</v>
      </c>
      <c r="K91" s="101"/>
      <c r="L91" s="96"/>
      <c r="M91" s="96"/>
      <c r="N91" s="96"/>
      <c r="O91" s="96"/>
      <c r="P91" s="96">
        <f t="shared" si="7"/>
        <v>905219</v>
      </c>
    </row>
    <row r="92" spans="1:16" s="54" customFormat="1" ht="44.25" customHeight="1">
      <c r="A92" s="44">
        <v>1014060</v>
      </c>
      <c r="B92" s="27">
        <v>4060</v>
      </c>
      <c r="C92" s="17" t="s">
        <v>18</v>
      </c>
      <c r="D92" s="31" t="s">
        <v>72</v>
      </c>
      <c r="E92" s="96">
        <f t="shared" si="6"/>
        <v>6748173</v>
      </c>
      <c r="F92" s="96">
        <f>6841773-96100+2500</f>
        <v>6748173</v>
      </c>
      <c r="G92" s="96">
        <f>4982903-123856+15</f>
        <v>4859062</v>
      </c>
      <c r="H92" s="96">
        <v>377250</v>
      </c>
      <c r="I92" s="96"/>
      <c r="J92" s="96">
        <f>L92+O92</f>
        <v>7000</v>
      </c>
      <c r="K92" s="101"/>
      <c r="L92" s="96">
        <v>7000</v>
      </c>
      <c r="M92" s="96"/>
      <c r="N92" s="96"/>
      <c r="O92" s="96"/>
      <c r="P92" s="96">
        <f t="shared" si="7"/>
        <v>6755173</v>
      </c>
    </row>
    <row r="93" spans="1:16" s="54" customFormat="1" ht="12.75">
      <c r="A93" s="44"/>
      <c r="B93" s="27"/>
      <c r="C93" s="17"/>
      <c r="D93" s="31"/>
      <c r="E93" s="96"/>
      <c r="F93" s="96"/>
      <c r="G93" s="96"/>
      <c r="H93" s="96"/>
      <c r="I93" s="96"/>
      <c r="J93" s="96"/>
      <c r="K93" s="101"/>
      <c r="L93" s="96"/>
      <c r="M93" s="96"/>
      <c r="N93" s="96"/>
      <c r="O93" s="96"/>
      <c r="P93" s="96"/>
    </row>
    <row r="94" spans="1:16" s="54" customFormat="1" ht="12.75">
      <c r="A94" s="44">
        <v>1014082</v>
      </c>
      <c r="B94" s="27">
        <v>4082</v>
      </c>
      <c r="C94" s="17" t="s">
        <v>19</v>
      </c>
      <c r="D94" s="31" t="s">
        <v>76</v>
      </c>
      <c r="E94" s="96">
        <f t="shared" si="6"/>
        <v>175000</v>
      </c>
      <c r="F94" s="96">
        <v>175000</v>
      </c>
      <c r="G94" s="96"/>
      <c r="H94" s="96"/>
      <c r="I94" s="96"/>
      <c r="J94" s="96"/>
      <c r="K94" s="101"/>
      <c r="L94" s="96"/>
      <c r="M94" s="96"/>
      <c r="N94" s="96"/>
      <c r="O94" s="96"/>
      <c r="P94" s="96">
        <f t="shared" si="7"/>
        <v>175000</v>
      </c>
    </row>
    <row r="95" spans="1:16" s="54" customFormat="1" ht="12.75">
      <c r="A95" s="44"/>
      <c r="B95" s="27"/>
      <c r="C95" s="17"/>
      <c r="D95" s="31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s="54" customFormat="1" ht="33.75" customHeight="1">
      <c r="A96" s="44">
        <v>1011080</v>
      </c>
      <c r="B96" s="27">
        <v>1080</v>
      </c>
      <c r="C96" s="17" t="s">
        <v>42</v>
      </c>
      <c r="D96" s="31" t="s">
        <v>92</v>
      </c>
      <c r="E96" s="96">
        <f t="shared" si="6"/>
        <v>2666344</v>
      </c>
      <c r="F96" s="96">
        <v>2666344</v>
      </c>
      <c r="G96" s="96">
        <v>2116469</v>
      </c>
      <c r="H96" s="96">
        <v>46410</v>
      </c>
      <c r="I96" s="96"/>
      <c r="J96" s="96">
        <f>O96+L96</f>
        <v>140000</v>
      </c>
      <c r="K96" s="101"/>
      <c r="L96" s="96">
        <v>140000</v>
      </c>
      <c r="M96" s="96">
        <v>112325</v>
      </c>
      <c r="N96" s="96"/>
      <c r="O96" s="96"/>
      <c r="P96" s="96">
        <f t="shared" si="7"/>
        <v>2806344</v>
      </c>
    </row>
    <row r="97" spans="1:16" s="54" customFormat="1" ht="33.75" customHeight="1">
      <c r="A97" s="124" t="s">
        <v>191</v>
      </c>
      <c r="B97" s="124" t="s">
        <v>192</v>
      </c>
      <c r="C97" s="125" t="s">
        <v>143</v>
      </c>
      <c r="D97" s="126" t="s">
        <v>193</v>
      </c>
      <c r="E97" s="96"/>
      <c r="F97" s="96"/>
      <c r="G97" s="96"/>
      <c r="H97" s="96"/>
      <c r="I97" s="96"/>
      <c r="J97" s="96">
        <f>O97+L97</f>
        <v>99513</v>
      </c>
      <c r="K97" s="101">
        <f>275946-10800+99513-265146</f>
        <v>99513</v>
      </c>
      <c r="L97" s="96"/>
      <c r="M97" s="96"/>
      <c r="N97" s="96"/>
      <c r="O97" s="96">
        <f>275946-10800+99513-265146</f>
        <v>99513</v>
      </c>
      <c r="P97" s="96">
        <f t="shared" si="7"/>
        <v>99513</v>
      </c>
    </row>
    <row r="98" spans="1:16" s="54" customFormat="1" ht="12.75">
      <c r="A98" s="55"/>
      <c r="B98" s="55"/>
      <c r="C98" s="56"/>
      <c r="D98" s="45" t="s">
        <v>35</v>
      </c>
      <c r="E98" s="80">
        <f>F98+I98</f>
        <v>14155881</v>
      </c>
      <c r="F98" s="80">
        <f>F89+F90+F96+F91+F92+F94</f>
        <v>14155881</v>
      </c>
      <c r="G98" s="80">
        <f>G89+G90+G96+G91+G92+G94</f>
        <v>10403291</v>
      </c>
      <c r="H98" s="80">
        <f>H89+H90+H96+H91+H92+H94</f>
        <v>642725</v>
      </c>
      <c r="I98" s="80">
        <f>I89+I90+I96+I91+I92+I94</f>
        <v>0</v>
      </c>
      <c r="J98" s="80">
        <f>L98+O98</f>
        <v>246513</v>
      </c>
      <c r="K98" s="80">
        <f>K89+K90+K96+K91+K92+K94+K97</f>
        <v>99513</v>
      </c>
      <c r="L98" s="80">
        <f>L89+L90+L96+L91+L92+L94+L97</f>
        <v>147000</v>
      </c>
      <c r="M98" s="80">
        <f>M89+M90+M96+M91+M92+M94+M97</f>
        <v>112325</v>
      </c>
      <c r="N98" s="80">
        <f>N89+N90+N96+N91+N92+N94+N97</f>
        <v>0</v>
      </c>
      <c r="O98" s="80">
        <f>O89+O90+O96+O91+O92+O94+O97</f>
        <v>99513</v>
      </c>
      <c r="P98" s="80">
        <f>E98+J98</f>
        <v>14402394</v>
      </c>
    </row>
    <row r="99" spans="1:16" s="54" customFormat="1" ht="25.5">
      <c r="A99" s="112" t="s">
        <v>126</v>
      </c>
      <c r="B99" s="112"/>
      <c r="C99" s="113"/>
      <c r="D99" s="114" t="s">
        <v>128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</row>
    <row r="100" spans="1:16" s="54" customFormat="1" ht="25.5">
      <c r="A100" s="112" t="s">
        <v>127</v>
      </c>
      <c r="B100" s="112"/>
      <c r="C100" s="113"/>
      <c r="D100" s="114" t="s">
        <v>128</v>
      </c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</row>
    <row r="101" spans="1:16" s="54" customFormat="1" ht="48" customHeight="1">
      <c r="A101" s="112" t="s">
        <v>129</v>
      </c>
      <c r="B101" s="115" t="s">
        <v>44</v>
      </c>
      <c r="C101" s="113" t="s">
        <v>12</v>
      </c>
      <c r="D101" s="114" t="s">
        <v>146</v>
      </c>
      <c r="E101" s="96">
        <f>F101+I101</f>
        <v>2043670</v>
      </c>
      <c r="F101" s="105">
        <f>2019970+23700</f>
        <v>2043670</v>
      </c>
      <c r="G101" s="105">
        <f>1587570+19660</f>
        <v>1607230</v>
      </c>
      <c r="H101" s="105">
        <v>37300</v>
      </c>
      <c r="I101" s="105"/>
      <c r="J101" s="105"/>
      <c r="K101" s="105"/>
      <c r="L101" s="105"/>
      <c r="M101" s="105"/>
      <c r="N101" s="105"/>
      <c r="O101" s="105"/>
      <c r="P101" s="96">
        <f>J101+E101</f>
        <v>2043670</v>
      </c>
    </row>
    <row r="102" spans="1:16" s="54" customFormat="1" ht="12.75">
      <c r="A102" s="58" t="s">
        <v>132</v>
      </c>
      <c r="B102" s="58" t="s">
        <v>133</v>
      </c>
      <c r="C102" s="59" t="s">
        <v>22</v>
      </c>
      <c r="D102" s="60" t="s">
        <v>134</v>
      </c>
      <c r="E102" s="105">
        <v>45000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96">
        <f>J102+E102</f>
        <v>45000</v>
      </c>
    </row>
    <row r="103" spans="1:16" s="54" customFormat="1" ht="12.75">
      <c r="A103" s="55"/>
      <c r="B103" s="55"/>
      <c r="C103" s="56"/>
      <c r="D103" s="45" t="s">
        <v>35</v>
      </c>
      <c r="E103" s="116">
        <f>F103+I103+E102</f>
        <v>2088670</v>
      </c>
      <c r="F103" s="116">
        <f>F101+F102</f>
        <v>2043670</v>
      </c>
      <c r="G103" s="116">
        <f>G101+G102</f>
        <v>1607230</v>
      </c>
      <c r="H103" s="116">
        <f>H101+H102</f>
        <v>37300</v>
      </c>
      <c r="I103" s="116"/>
      <c r="J103" s="116"/>
      <c r="K103" s="116"/>
      <c r="L103" s="116"/>
      <c r="M103" s="116"/>
      <c r="N103" s="116"/>
      <c r="O103" s="116"/>
      <c r="P103" s="96">
        <f>J103+E103</f>
        <v>2088670</v>
      </c>
    </row>
    <row r="104" spans="1:27" s="54" customFormat="1" ht="12.75">
      <c r="A104" s="46"/>
      <c r="B104" s="47"/>
      <c r="C104" s="48"/>
      <c r="D104" s="48" t="s">
        <v>2</v>
      </c>
      <c r="E104" s="79">
        <f>F104+I104+E102</f>
        <v>191408278.72</v>
      </c>
      <c r="F104" s="79">
        <f>F103+F98+F86+F59</f>
        <v>190663278.72</v>
      </c>
      <c r="G104" s="79">
        <f>G103+G98+G86+G59</f>
        <v>129122392</v>
      </c>
      <c r="H104" s="79">
        <f>H103+H98+H86+H59</f>
        <v>9054536</v>
      </c>
      <c r="I104" s="79">
        <f>I103+I98+I86+I59</f>
        <v>700000</v>
      </c>
      <c r="J104" s="79">
        <f>L104+O104</f>
        <v>8522022</v>
      </c>
      <c r="K104" s="79">
        <f>K103+K98+K86+K59</f>
        <v>4872408</v>
      </c>
      <c r="L104" s="79">
        <f>L103+L98+L86+L59</f>
        <v>3649614</v>
      </c>
      <c r="M104" s="79">
        <f>M103+M98+M86+M59</f>
        <v>167325</v>
      </c>
      <c r="N104" s="79">
        <f>N103+N98+N86+N59</f>
        <v>0</v>
      </c>
      <c r="O104" s="79">
        <f>O103+O98+O86+O59</f>
        <v>4872408</v>
      </c>
      <c r="P104" s="80">
        <f>E104+J104</f>
        <v>199930300.72</v>
      </c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1"/>
    </row>
    <row r="105" spans="1:27" s="54" customFormat="1" ht="4.5" customHeight="1">
      <c r="A105" s="127"/>
      <c r="B105" s="128"/>
      <c r="C105" s="129"/>
      <c r="D105" s="129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1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1"/>
    </row>
    <row r="106" spans="1:16" s="54" customFormat="1" ht="57" customHeight="1">
      <c r="A106" s="57"/>
      <c r="B106" s="57"/>
      <c r="C106" s="57"/>
      <c r="D106" s="49" t="s">
        <v>28</v>
      </c>
      <c r="E106" s="78">
        <f>F106+I106</f>
        <v>66512925</v>
      </c>
      <c r="F106" s="78">
        <f>F70+F80+F82+F26+F71</f>
        <v>66512925</v>
      </c>
      <c r="G106" s="78">
        <f>G70+G80+G82+G26</f>
        <v>53815102</v>
      </c>
      <c r="H106" s="78">
        <f>H70+H80+H82+H26</f>
        <v>0</v>
      </c>
      <c r="I106" s="78">
        <f>I70+I80+I82+I26</f>
        <v>0</v>
      </c>
      <c r="J106" s="78">
        <f>L106+O106</f>
        <v>800356</v>
      </c>
      <c r="K106" s="78">
        <f>K70+K80+K82+K26+K71+K81</f>
        <v>800356</v>
      </c>
      <c r="L106" s="78">
        <f>L70+L80+L82+L26+L71</f>
        <v>0</v>
      </c>
      <c r="M106" s="78">
        <f>M70+M80+M82+M26+M71</f>
        <v>0</v>
      </c>
      <c r="N106" s="78">
        <f>N70+N80+N82+N26+N71</f>
        <v>0</v>
      </c>
      <c r="O106" s="78">
        <f>O70+O80+O82+O26+O71+O81</f>
        <v>800356</v>
      </c>
      <c r="P106" s="77">
        <f>E106+J106</f>
        <v>67313281</v>
      </c>
    </row>
    <row r="107" spans="1:16" s="54" customFormat="1" ht="23.25" customHeight="1">
      <c r="A107" s="57"/>
      <c r="B107" s="57"/>
      <c r="C107" s="57"/>
      <c r="D107" s="49" t="s">
        <v>194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7">
        <f>E107+J107</f>
        <v>0</v>
      </c>
    </row>
    <row r="108" spans="1:16" s="54" customFormat="1" ht="70.5" customHeight="1">
      <c r="A108" s="57"/>
      <c r="B108" s="57"/>
      <c r="C108" s="57"/>
      <c r="D108" s="49" t="s">
        <v>195</v>
      </c>
      <c r="E108" s="78">
        <f>F108</f>
        <v>282765</v>
      </c>
      <c r="F108" s="78">
        <f>F71</f>
        <v>282765</v>
      </c>
      <c r="G108" s="78">
        <f>G71</f>
        <v>0</v>
      </c>
      <c r="H108" s="78">
        <f>H71</f>
        <v>0</v>
      </c>
      <c r="I108" s="78">
        <f>I71</f>
        <v>0</v>
      </c>
      <c r="J108" s="78">
        <f>L108+O108</f>
        <v>630557</v>
      </c>
      <c r="K108" s="78">
        <f>K71+K81</f>
        <v>630557</v>
      </c>
      <c r="L108" s="78">
        <f>L71</f>
        <v>0</v>
      </c>
      <c r="M108" s="78">
        <f>M71</f>
        <v>0</v>
      </c>
      <c r="N108" s="78">
        <f>N71</f>
        <v>0</v>
      </c>
      <c r="O108" s="78">
        <f>O71+O81</f>
        <v>630557</v>
      </c>
      <c r="P108" s="77">
        <f>E108+J108</f>
        <v>913322</v>
      </c>
    </row>
    <row r="109" spans="1:16" ht="33" customHeight="1">
      <c r="A109" s="97" t="s">
        <v>96</v>
      </c>
      <c r="B109" s="97"/>
      <c r="C109" s="97"/>
      <c r="D109" s="97"/>
      <c r="E109" s="23"/>
      <c r="F109" s="72"/>
      <c r="G109" s="72"/>
      <c r="H109" s="72"/>
      <c r="I109" s="73"/>
      <c r="J109" s="144" t="s">
        <v>97</v>
      </c>
      <c r="K109" s="144"/>
      <c r="L109" s="144"/>
      <c r="M109" s="144"/>
      <c r="N109" s="144"/>
      <c r="O109" s="72"/>
      <c r="P109" s="72"/>
    </row>
    <row r="110" spans="2:18" ht="15">
      <c r="B110" s="2"/>
      <c r="D110" s="32"/>
      <c r="F110" s="74"/>
      <c r="G110" s="74"/>
      <c r="H110" s="74"/>
      <c r="I110" s="13"/>
      <c r="J110" s="74"/>
      <c r="K110" s="75"/>
      <c r="L110" s="74"/>
      <c r="M110" s="74"/>
      <c r="N110" s="74"/>
      <c r="O110" s="74"/>
      <c r="P110" s="74"/>
      <c r="R110" s="68"/>
    </row>
    <row r="111" spans="5:16" ht="12.7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3" spans="1:16" ht="12.75">
      <c r="A113" s="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2" ht="12.75">
      <c r="A114" s="3"/>
      <c r="L114" s="12"/>
    </row>
    <row r="115" ht="12.75">
      <c r="A115" s="3"/>
    </row>
    <row r="116" ht="12.75">
      <c r="A116" s="3"/>
    </row>
    <row r="141" spans="3:8" ht="12.75">
      <c r="C141" s="92"/>
      <c r="D141" s="93"/>
      <c r="E141" s="93"/>
      <c r="F141" s="94"/>
      <c r="G141" s="95"/>
      <c r="H141" s="92"/>
    </row>
    <row r="142" spans="3:8" ht="12.75">
      <c r="C142" s="92"/>
      <c r="D142" s="92"/>
      <c r="E142" s="92"/>
      <c r="F142" s="92"/>
      <c r="G142" s="92"/>
      <c r="H142" s="92"/>
    </row>
  </sheetData>
  <sheetProtection/>
  <mergeCells count="25">
    <mergeCell ref="J109:N109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48" r:id="rId1"/>
  <headerFooter differentFirst="1" alignWithMargins="0">
    <oddHeader>&amp;RПродовження додатка 3.1</oddHeader>
  </headerFooter>
  <rowBreaks count="2" manualBreakCount="2">
    <brk id="54" max="15" man="1"/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2021-04-07T13:35:28Z</cp:lastPrinted>
  <dcterms:created xsi:type="dcterms:W3CDTF">2016-12-26T13:46:38Z</dcterms:created>
  <dcterms:modified xsi:type="dcterms:W3CDTF">2021-04-15T06:04:55Z</dcterms:modified>
  <cp:category/>
  <cp:version/>
  <cp:contentType/>
  <cp:contentStatus/>
</cp:coreProperties>
</file>